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RACUNOVODSTVO\IZVJEŠTAJI\2024\IZVRŠENJE\"/>
    </mc:Choice>
  </mc:AlternateContent>
  <xr:revisionPtr revIDLastSave="0" documentId="13_ncr:1_{444737A8-A282-4D63-BB3A-2CA0AD9F1C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Print_Area" localSheetId="1">' Račun prihoda i rashoda'!$B$1:$L$105</definedName>
    <definedName name="_xlnm.Print_Area" localSheetId="6">'POSEBNI DIO'!$A$1:$I$94</definedName>
    <definedName name="_xlnm.Print_Area" localSheetId="0">SAŽETAK!$B$1:$L$42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E24" i="7"/>
  <c r="E23" i="7"/>
  <c r="E22" i="7"/>
  <c r="G22" i="7"/>
  <c r="F11" i="7"/>
  <c r="G11" i="7"/>
  <c r="G10" i="7"/>
  <c r="G23" i="7"/>
  <c r="G26" i="7"/>
  <c r="G24" i="7"/>
  <c r="G55" i="7"/>
  <c r="G57" i="7"/>
  <c r="G56" i="7"/>
  <c r="G66" i="7"/>
  <c r="F80" i="7"/>
  <c r="G80" i="7"/>
  <c r="E80" i="7"/>
  <c r="G67" i="7"/>
  <c r="G65" i="7"/>
  <c r="G58" i="7"/>
  <c r="G28" i="7"/>
  <c r="G33" i="7"/>
  <c r="G30" i="7"/>
  <c r="G29" i="7"/>
  <c r="G27" i="7" s="1"/>
  <c r="F28" i="5"/>
  <c r="F26" i="5"/>
  <c r="F24" i="5"/>
  <c r="F12" i="5"/>
  <c r="F10" i="5"/>
  <c r="F8" i="5"/>
  <c r="J53" i="3"/>
  <c r="J51" i="3"/>
  <c r="J49" i="3"/>
  <c r="J57" i="3"/>
  <c r="G87" i="3"/>
  <c r="H87" i="3"/>
  <c r="I87" i="3"/>
  <c r="J87" i="3"/>
  <c r="J88" i="3"/>
  <c r="G88" i="3"/>
  <c r="H88" i="3"/>
  <c r="I88" i="3"/>
  <c r="J60" i="3"/>
  <c r="J64" i="3"/>
  <c r="I49" i="3"/>
  <c r="J28" i="3"/>
  <c r="J41" i="3"/>
  <c r="I41" i="3"/>
  <c r="I11" i="3" s="1"/>
  <c r="H41" i="3"/>
  <c r="H11" i="3" s="1"/>
  <c r="G41" i="3"/>
  <c r="G11" i="3" s="1"/>
  <c r="G39" i="3"/>
  <c r="K42" i="3"/>
  <c r="L42" i="3"/>
  <c r="J32" i="3"/>
  <c r="J31" i="3"/>
  <c r="J25" i="3"/>
  <c r="J37" i="3"/>
  <c r="H12" i="3"/>
  <c r="I12" i="3"/>
  <c r="J12" i="3"/>
  <c r="G12" i="3"/>
  <c r="J33" i="3"/>
  <c r="L34" i="3"/>
  <c r="H33" i="3"/>
  <c r="I33" i="3"/>
  <c r="K33" i="3"/>
  <c r="G33" i="3"/>
  <c r="G35" i="3"/>
  <c r="G30" i="3"/>
  <c r="K22" i="3"/>
  <c r="J20" i="1"/>
  <c r="H60" i="7"/>
  <c r="E27" i="7"/>
  <c r="F27" i="7"/>
  <c r="H70" i="7"/>
  <c r="H71" i="7"/>
  <c r="H72" i="7"/>
  <c r="H73" i="7"/>
  <c r="H74" i="7"/>
  <c r="H75" i="7"/>
  <c r="H92" i="7"/>
  <c r="F86" i="7"/>
  <c r="G86" i="7"/>
  <c r="E86" i="7"/>
  <c r="F68" i="7"/>
  <c r="E68" i="7"/>
  <c r="F31" i="7"/>
  <c r="H88" i="7"/>
  <c r="E63" i="7"/>
  <c r="E64" i="7"/>
  <c r="G68" i="7"/>
  <c r="H77" i="7"/>
  <c r="F58" i="7"/>
  <c r="E58" i="7"/>
  <c r="I73" i="3"/>
  <c r="H73" i="3"/>
  <c r="I70" i="3"/>
  <c r="H70" i="3"/>
  <c r="I69" i="3"/>
  <c r="H69" i="3"/>
  <c r="I68" i="3"/>
  <c r="H68" i="3"/>
  <c r="I64" i="3"/>
  <c r="H64" i="3"/>
  <c r="I60" i="3"/>
  <c r="H60" i="3"/>
  <c r="I71" i="3"/>
  <c r="H71" i="3"/>
  <c r="I83" i="3"/>
  <c r="H83" i="3"/>
  <c r="H78" i="3" s="1"/>
  <c r="I53" i="3"/>
  <c r="H53" i="3"/>
  <c r="I51" i="3"/>
  <c r="H51" i="3"/>
  <c r="H49" i="3"/>
  <c r="H19" i="3"/>
  <c r="I19" i="3"/>
  <c r="G19" i="3"/>
  <c r="L28" i="1"/>
  <c r="L29" i="1"/>
  <c r="L30" i="1"/>
  <c r="K28" i="1"/>
  <c r="K29" i="1"/>
  <c r="K30" i="1"/>
  <c r="G32" i="1"/>
  <c r="G33" i="1"/>
  <c r="G34" i="1" s="1"/>
  <c r="K41" i="3" l="1"/>
  <c r="L41" i="3"/>
  <c r="L33" i="3"/>
  <c r="G30" i="1"/>
  <c r="H33" i="1"/>
  <c r="I33" i="1"/>
  <c r="J33" i="1"/>
  <c r="H30" i="1"/>
  <c r="I30" i="1"/>
  <c r="J30" i="1"/>
  <c r="L17" i="1"/>
  <c r="E20" i="7"/>
  <c r="E18" i="7"/>
  <c r="H76" i="7"/>
  <c r="F93" i="7"/>
  <c r="G93" i="7"/>
  <c r="F79" i="7"/>
  <c r="F78" i="7" s="1"/>
  <c r="G79" i="7"/>
  <c r="G78" i="7" s="1"/>
  <c r="F64" i="7"/>
  <c r="G64" i="7"/>
  <c r="H90" i="7"/>
  <c r="H91" i="7"/>
  <c r="H87" i="7"/>
  <c r="E93" i="7"/>
  <c r="E85" i="7" s="1"/>
  <c r="E84" i="7" s="1"/>
  <c r="F57" i="7"/>
  <c r="E57" i="7"/>
  <c r="G31" i="7"/>
  <c r="F53" i="7"/>
  <c r="F26" i="7" s="1"/>
  <c r="G53" i="7"/>
  <c r="E53" i="7"/>
  <c r="E26" i="7" s="1"/>
  <c r="E31" i="7"/>
  <c r="D15" i="5"/>
  <c r="E15" i="5"/>
  <c r="F15" i="5"/>
  <c r="D31" i="5"/>
  <c r="E31" i="5"/>
  <c r="F31" i="5"/>
  <c r="C29" i="5"/>
  <c r="J66" i="3"/>
  <c r="H104" i="3"/>
  <c r="H103" i="3" s="1"/>
  <c r="I104" i="3"/>
  <c r="J104" i="3"/>
  <c r="J103" i="3" s="1"/>
  <c r="G104" i="3"/>
  <c r="H101" i="3"/>
  <c r="I101" i="3"/>
  <c r="J101" i="3"/>
  <c r="G101" i="3"/>
  <c r="H99" i="3"/>
  <c r="I99" i="3"/>
  <c r="J99" i="3"/>
  <c r="G99" i="3"/>
  <c r="H95" i="3"/>
  <c r="I95" i="3"/>
  <c r="J95" i="3"/>
  <c r="G95" i="3"/>
  <c r="H92" i="3"/>
  <c r="H91" i="3" s="1"/>
  <c r="I92" i="3"/>
  <c r="I91" i="3" s="1"/>
  <c r="J92" i="3"/>
  <c r="K92" i="3" s="1"/>
  <c r="G92" i="3"/>
  <c r="I76" i="3"/>
  <c r="I78" i="3"/>
  <c r="J78" i="3"/>
  <c r="G78" i="3"/>
  <c r="J55" i="3"/>
  <c r="I55" i="3"/>
  <c r="H55" i="3"/>
  <c r="G55" i="3"/>
  <c r="G38" i="3"/>
  <c r="G36" i="3"/>
  <c r="G24" i="3"/>
  <c r="H13" i="3"/>
  <c r="I13" i="3"/>
  <c r="J13" i="3"/>
  <c r="J19" i="3"/>
  <c r="G16" i="3"/>
  <c r="G13" i="3"/>
  <c r="L18" i="3"/>
  <c r="L22" i="3"/>
  <c r="J36" i="3"/>
  <c r="J35" i="3" s="1"/>
  <c r="I36" i="3"/>
  <c r="I35" i="3" s="1"/>
  <c r="H36" i="3"/>
  <c r="H35" i="3" s="1"/>
  <c r="H22" i="1"/>
  <c r="D8" i="8" s="1"/>
  <c r="I32" i="1"/>
  <c r="I31" i="1"/>
  <c r="L49" i="3"/>
  <c r="L51" i="3"/>
  <c r="L53" i="3"/>
  <c r="L56" i="3"/>
  <c r="L57" i="3"/>
  <c r="L58" i="3"/>
  <c r="L60" i="3"/>
  <c r="L61" i="3"/>
  <c r="L62" i="3"/>
  <c r="L63" i="3"/>
  <c r="L64" i="3"/>
  <c r="L65" i="3"/>
  <c r="L67" i="3"/>
  <c r="L68" i="3"/>
  <c r="L69" i="3"/>
  <c r="L70" i="3"/>
  <c r="L71" i="3"/>
  <c r="L72" i="3"/>
  <c r="L73" i="3"/>
  <c r="L74" i="3"/>
  <c r="L75" i="3"/>
  <c r="L77" i="3"/>
  <c r="L79" i="3"/>
  <c r="L80" i="3"/>
  <c r="L81" i="3"/>
  <c r="L82" i="3"/>
  <c r="L83" i="3"/>
  <c r="L86" i="3"/>
  <c r="L87" i="3"/>
  <c r="L88" i="3"/>
  <c r="L89" i="3"/>
  <c r="L93" i="3"/>
  <c r="L94" i="3"/>
  <c r="L96" i="3"/>
  <c r="L97" i="3"/>
  <c r="L98" i="3"/>
  <c r="L100" i="3"/>
  <c r="L102" i="3"/>
  <c r="L105" i="3"/>
  <c r="K49" i="3"/>
  <c r="K51" i="3"/>
  <c r="K53" i="3"/>
  <c r="K56" i="3"/>
  <c r="K57" i="3"/>
  <c r="K58" i="3"/>
  <c r="K60" i="3"/>
  <c r="K61" i="3"/>
  <c r="K62" i="3"/>
  <c r="K63" i="3"/>
  <c r="K64" i="3"/>
  <c r="K65" i="3"/>
  <c r="K67" i="3"/>
  <c r="K68" i="3"/>
  <c r="K69" i="3"/>
  <c r="K70" i="3"/>
  <c r="K71" i="3"/>
  <c r="K72" i="3"/>
  <c r="K73" i="3"/>
  <c r="K74" i="3"/>
  <c r="K75" i="3"/>
  <c r="K77" i="3"/>
  <c r="K79" i="3"/>
  <c r="K80" i="3"/>
  <c r="K81" i="3"/>
  <c r="K82" i="3"/>
  <c r="K83" i="3"/>
  <c r="K86" i="3"/>
  <c r="K87" i="3"/>
  <c r="K88" i="3"/>
  <c r="K89" i="3"/>
  <c r="K93" i="3"/>
  <c r="K94" i="3"/>
  <c r="K96" i="3"/>
  <c r="K97" i="3"/>
  <c r="K98" i="3"/>
  <c r="K100" i="3"/>
  <c r="K102" i="3"/>
  <c r="K105" i="3"/>
  <c r="H39" i="3"/>
  <c r="I39" i="3"/>
  <c r="J39" i="3"/>
  <c r="H30" i="3"/>
  <c r="H29" i="3" s="1"/>
  <c r="I30" i="3"/>
  <c r="I29" i="3" s="1"/>
  <c r="J30" i="3"/>
  <c r="J29" i="3" s="1"/>
  <c r="H27" i="3"/>
  <c r="I27" i="3"/>
  <c r="I26" i="3" s="1"/>
  <c r="J27" i="3"/>
  <c r="H24" i="3"/>
  <c r="H23" i="3" s="1"/>
  <c r="I24" i="3"/>
  <c r="J24" i="3"/>
  <c r="H16" i="3"/>
  <c r="I16" i="3"/>
  <c r="J16" i="3"/>
  <c r="L15" i="3"/>
  <c r="L17" i="3"/>
  <c r="L20" i="3"/>
  <c r="L21" i="3"/>
  <c r="L25" i="3"/>
  <c r="L28" i="3"/>
  <c r="L31" i="3"/>
  <c r="L32" i="3"/>
  <c r="L37" i="3"/>
  <c r="L40" i="3"/>
  <c r="K15" i="3"/>
  <c r="K17" i="3"/>
  <c r="K18" i="3"/>
  <c r="K20" i="3"/>
  <c r="K21" i="3"/>
  <c r="K25" i="3"/>
  <c r="K28" i="3"/>
  <c r="K31" i="3"/>
  <c r="K32" i="3"/>
  <c r="K37" i="3"/>
  <c r="K40" i="3"/>
  <c r="G76" i="3"/>
  <c r="G20" i="7"/>
  <c r="F18" i="7"/>
  <c r="G18" i="7"/>
  <c r="H28" i="7"/>
  <c r="H29" i="7"/>
  <c r="H30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4" i="7"/>
  <c r="H59" i="7"/>
  <c r="H65" i="7"/>
  <c r="H66" i="7"/>
  <c r="H67" i="7"/>
  <c r="H69" i="7"/>
  <c r="H81" i="7"/>
  <c r="H82" i="7"/>
  <c r="H89" i="7"/>
  <c r="H94" i="7"/>
  <c r="E11" i="7" l="1"/>
  <c r="E10" i="7" s="1"/>
  <c r="E25" i="7"/>
  <c r="K35" i="3"/>
  <c r="L35" i="3"/>
  <c r="K104" i="3"/>
  <c r="K101" i="3"/>
  <c r="K99" i="3"/>
  <c r="F25" i="7"/>
  <c r="F24" i="7" s="1"/>
  <c r="G63" i="7"/>
  <c r="E79" i="7"/>
  <c r="E78" i="7" s="1"/>
  <c r="E62" i="7" s="1"/>
  <c r="L104" i="3"/>
  <c r="L101" i="3"/>
  <c r="L99" i="3"/>
  <c r="K95" i="3"/>
  <c r="L95" i="3"/>
  <c r="J91" i="3"/>
  <c r="J90" i="3" s="1"/>
  <c r="G91" i="3"/>
  <c r="H90" i="3"/>
  <c r="I103" i="3"/>
  <c r="L103" i="3" s="1"/>
  <c r="L92" i="3"/>
  <c r="G103" i="3"/>
  <c r="G85" i="7"/>
  <c r="G84" i="7" s="1"/>
  <c r="F85" i="7"/>
  <c r="F84" i="7" s="1"/>
  <c r="F63" i="7"/>
  <c r="H93" i="7"/>
  <c r="H80" i="7"/>
  <c r="H86" i="7"/>
  <c r="E17" i="7"/>
  <c r="E16" i="7" s="1"/>
  <c r="G15" i="7"/>
  <c r="G14" i="7" s="1"/>
  <c r="H79" i="7"/>
  <c r="F15" i="7"/>
  <c r="F14" i="7" s="1"/>
  <c r="H68" i="7"/>
  <c r="H27" i="7"/>
  <c r="H64" i="7"/>
  <c r="H58" i="7"/>
  <c r="H53" i="7"/>
  <c r="H31" i="7"/>
  <c r="F56" i="7"/>
  <c r="F55" i="7" s="1"/>
  <c r="H55" i="7" s="1"/>
  <c r="H57" i="7"/>
  <c r="E56" i="7"/>
  <c r="E55" i="7" s="1"/>
  <c r="L39" i="3"/>
  <c r="H21" i="7"/>
  <c r="F20" i="7"/>
  <c r="L27" i="3"/>
  <c r="L24" i="3"/>
  <c r="L36" i="3"/>
  <c r="H18" i="7"/>
  <c r="L16" i="3"/>
  <c r="L30" i="3"/>
  <c r="H19" i="7"/>
  <c r="G13" i="7" l="1"/>
  <c r="G12" i="7" s="1"/>
  <c r="G62" i="7"/>
  <c r="G61" i="7" s="1"/>
  <c r="G25" i="7"/>
  <c r="F23" i="7"/>
  <c r="F22" i="7" s="1"/>
  <c r="E15" i="7"/>
  <c r="G90" i="3"/>
  <c r="K90" i="3" s="1"/>
  <c r="K91" i="3"/>
  <c r="L91" i="3"/>
  <c r="I90" i="3"/>
  <c r="L90" i="3" s="1"/>
  <c r="K103" i="3"/>
  <c r="F62" i="7"/>
  <c r="F61" i="7" s="1"/>
  <c r="E13" i="7"/>
  <c r="E12" i="7" s="1"/>
  <c r="F17" i="7"/>
  <c r="F16" i="7" s="1"/>
  <c r="G17" i="7"/>
  <c r="G16" i="7" s="1"/>
  <c r="H16" i="7" s="1"/>
  <c r="H84" i="7"/>
  <c r="H85" i="7"/>
  <c r="H14" i="7"/>
  <c r="H15" i="7"/>
  <c r="H78" i="7"/>
  <c r="F13" i="7"/>
  <c r="F12" i="7" s="1"/>
  <c r="H63" i="7"/>
  <c r="H26" i="7"/>
  <c r="F10" i="7"/>
  <c r="H56" i="7"/>
  <c r="H20" i="7"/>
  <c r="D7" i="8"/>
  <c r="D6" i="8" s="1"/>
  <c r="H85" i="3"/>
  <c r="H84" i="3" s="1"/>
  <c r="I85" i="3"/>
  <c r="I84" i="3" s="1"/>
  <c r="J85" i="3"/>
  <c r="G85" i="3"/>
  <c r="G84" i="3" s="1"/>
  <c r="H76" i="3"/>
  <c r="J76" i="3"/>
  <c r="H66" i="3"/>
  <c r="I66" i="3"/>
  <c r="G66" i="3"/>
  <c r="H59" i="3"/>
  <c r="I59" i="3"/>
  <c r="J59" i="3"/>
  <c r="G59" i="3"/>
  <c r="H52" i="3"/>
  <c r="I52" i="3"/>
  <c r="J52" i="3"/>
  <c r="G52" i="3"/>
  <c r="H50" i="3"/>
  <c r="I50" i="3"/>
  <c r="J50" i="3"/>
  <c r="G50" i="3"/>
  <c r="H48" i="3"/>
  <c r="I48" i="3"/>
  <c r="J48" i="3"/>
  <c r="G48" i="3"/>
  <c r="K32" i="1"/>
  <c r="L32" i="1"/>
  <c r="L31" i="1"/>
  <c r="K31" i="1"/>
  <c r="H31" i="5"/>
  <c r="H32" i="5"/>
  <c r="G31" i="5"/>
  <c r="G34" i="5"/>
  <c r="F35" i="5"/>
  <c r="E35" i="5"/>
  <c r="D35" i="5"/>
  <c r="C35" i="5"/>
  <c r="E33" i="5"/>
  <c r="D33" i="5"/>
  <c r="F33" i="5"/>
  <c r="C33" i="5"/>
  <c r="G32" i="5"/>
  <c r="G30" i="5"/>
  <c r="D29" i="5"/>
  <c r="F29" i="5"/>
  <c r="E29" i="5"/>
  <c r="F27" i="5"/>
  <c r="E27" i="5"/>
  <c r="D27" i="5"/>
  <c r="C27" i="5"/>
  <c r="C25" i="5"/>
  <c r="F25" i="5"/>
  <c r="E25" i="5"/>
  <c r="D25" i="5"/>
  <c r="F23" i="5"/>
  <c r="E23" i="5"/>
  <c r="D23" i="5"/>
  <c r="C23" i="5"/>
  <c r="D19" i="5"/>
  <c r="E19" i="5"/>
  <c r="F19" i="5"/>
  <c r="C19" i="5"/>
  <c r="D17" i="5"/>
  <c r="E17" i="5"/>
  <c r="F17" i="5"/>
  <c r="C17" i="5"/>
  <c r="D13" i="5"/>
  <c r="E13" i="5"/>
  <c r="F13" i="5"/>
  <c r="C13" i="5"/>
  <c r="D11" i="5"/>
  <c r="E11" i="5"/>
  <c r="F11" i="5"/>
  <c r="C11" i="5"/>
  <c r="D9" i="5"/>
  <c r="E9" i="5"/>
  <c r="F9" i="5"/>
  <c r="C9" i="5"/>
  <c r="D7" i="5"/>
  <c r="E7" i="5"/>
  <c r="F7" i="5"/>
  <c r="C7" i="5"/>
  <c r="H8" i="5"/>
  <c r="H10" i="5"/>
  <c r="H12" i="5"/>
  <c r="H14" i="5"/>
  <c r="H15" i="5"/>
  <c r="H16" i="5"/>
  <c r="H18" i="5"/>
  <c r="H20" i="5"/>
  <c r="G8" i="5"/>
  <c r="G10" i="5"/>
  <c r="G12" i="5"/>
  <c r="G14" i="5"/>
  <c r="G15" i="5"/>
  <c r="G16" i="5"/>
  <c r="G18" i="5"/>
  <c r="G20" i="5"/>
  <c r="J38" i="3"/>
  <c r="H38" i="3"/>
  <c r="I38" i="3"/>
  <c r="G29" i="3"/>
  <c r="J26" i="3"/>
  <c r="J11" i="3" s="1"/>
  <c r="G27" i="3"/>
  <c r="H26" i="3"/>
  <c r="I23" i="3"/>
  <c r="J23" i="3"/>
  <c r="L13" i="3"/>
  <c r="K16" i="3"/>
  <c r="L18" i="1"/>
  <c r="L20" i="1"/>
  <c r="L21" i="1"/>
  <c r="K18" i="1"/>
  <c r="K20" i="1"/>
  <c r="K21" i="1"/>
  <c r="K17" i="1"/>
  <c r="I22" i="1"/>
  <c r="E8" i="8" s="1"/>
  <c r="E7" i="8" s="1"/>
  <c r="J22" i="1"/>
  <c r="F8" i="8" s="1"/>
  <c r="F7" i="8" s="1"/>
  <c r="G22" i="1"/>
  <c r="H19" i="1"/>
  <c r="H23" i="1" s="1"/>
  <c r="H34" i="1" s="1"/>
  <c r="I19" i="1"/>
  <c r="J19" i="1"/>
  <c r="G19" i="1"/>
  <c r="G9" i="7" l="1"/>
  <c r="G8" i="7" s="1"/>
  <c r="H12" i="7"/>
  <c r="H25" i="7"/>
  <c r="H17" i="5"/>
  <c r="G17" i="5"/>
  <c r="J47" i="3"/>
  <c r="H10" i="3"/>
  <c r="H61" i="7"/>
  <c r="H62" i="7"/>
  <c r="H24" i="7"/>
  <c r="H54" i="3"/>
  <c r="H47" i="3"/>
  <c r="I23" i="1"/>
  <c r="I34" i="1" s="1"/>
  <c r="E61" i="7"/>
  <c r="E14" i="7"/>
  <c r="E9" i="7" s="1"/>
  <c r="J54" i="3"/>
  <c r="J46" i="3" s="1"/>
  <c r="J45" i="3" s="1"/>
  <c r="C8" i="8"/>
  <c r="G8" i="8" s="1"/>
  <c r="G23" i="1"/>
  <c r="I54" i="3"/>
  <c r="H17" i="7"/>
  <c r="H10" i="7"/>
  <c r="F9" i="7"/>
  <c r="H13" i="7"/>
  <c r="H11" i="7"/>
  <c r="G11" i="5"/>
  <c r="G9" i="5"/>
  <c r="I10" i="3"/>
  <c r="J10" i="3"/>
  <c r="K13" i="3"/>
  <c r="H8" i="8"/>
  <c r="G19" i="5"/>
  <c r="L19" i="1"/>
  <c r="H9" i="5"/>
  <c r="H19" i="5"/>
  <c r="H25" i="5"/>
  <c r="H26" i="5"/>
  <c r="F6" i="5"/>
  <c r="K30" i="3"/>
  <c r="K38" i="3"/>
  <c r="K39" i="3"/>
  <c r="K50" i="3"/>
  <c r="L50" i="3"/>
  <c r="L52" i="3"/>
  <c r="K52" i="3"/>
  <c r="L59" i="3"/>
  <c r="K59" i="3"/>
  <c r="H27" i="5"/>
  <c r="L48" i="3"/>
  <c r="K48" i="3"/>
  <c r="L55" i="3"/>
  <c r="K55" i="3"/>
  <c r="L66" i="3"/>
  <c r="K66" i="3"/>
  <c r="K33" i="1"/>
  <c r="G26" i="3"/>
  <c r="K26" i="3" s="1"/>
  <c r="K27" i="3"/>
  <c r="G23" i="3"/>
  <c r="K23" i="3" s="1"/>
  <c r="K24" i="3"/>
  <c r="K36" i="3"/>
  <c r="K76" i="3"/>
  <c r="L76" i="3"/>
  <c r="L78" i="3"/>
  <c r="K78" i="3"/>
  <c r="J84" i="3"/>
  <c r="L85" i="3"/>
  <c r="K85" i="3"/>
  <c r="L38" i="3"/>
  <c r="L26" i="3"/>
  <c r="L23" i="3"/>
  <c r="L19" i="3"/>
  <c r="K19" i="3"/>
  <c r="L33" i="1"/>
  <c r="G26" i="5"/>
  <c r="G29" i="5"/>
  <c r="F6" i="8"/>
  <c r="H7" i="8"/>
  <c r="E6" i="8"/>
  <c r="G54" i="3"/>
  <c r="I47" i="3"/>
  <c r="G47" i="3"/>
  <c r="G35" i="5"/>
  <c r="G13" i="5"/>
  <c r="H23" i="5"/>
  <c r="F22" i="5"/>
  <c r="H11" i="5"/>
  <c r="H13" i="5"/>
  <c r="G25" i="5"/>
  <c r="H29" i="5"/>
  <c r="H33" i="5"/>
  <c r="G27" i="5"/>
  <c r="H28" i="5"/>
  <c r="H35" i="5"/>
  <c r="G33" i="5"/>
  <c r="C22" i="5"/>
  <c r="G23" i="5"/>
  <c r="E22" i="5"/>
  <c r="D22" i="5"/>
  <c r="H7" i="5"/>
  <c r="G36" i="5"/>
  <c r="G28" i="5"/>
  <c r="G24" i="5"/>
  <c r="H34" i="5"/>
  <c r="H30" i="5"/>
  <c r="E6" i="5"/>
  <c r="D6" i="5"/>
  <c r="H36" i="5"/>
  <c r="H24" i="5"/>
  <c r="C6" i="5"/>
  <c r="G7" i="5"/>
  <c r="K19" i="1"/>
  <c r="K22" i="1"/>
  <c r="J34" i="1"/>
  <c r="L22" i="1"/>
  <c r="L54" i="3" l="1"/>
  <c r="K54" i="3"/>
  <c r="F8" i="7"/>
  <c r="H22" i="7"/>
  <c r="H23" i="7"/>
  <c r="H46" i="3"/>
  <c r="H45" i="3" s="1"/>
  <c r="C7" i="8"/>
  <c r="H9" i="7"/>
  <c r="H8" i="7" s="1"/>
  <c r="G10" i="3"/>
  <c r="H6" i="8"/>
  <c r="K12" i="3"/>
  <c r="G6" i="5"/>
  <c r="H6" i="5"/>
  <c r="K84" i="3"/>
  <c r="L84" i="3"/>
  <c r="L47" i="3"/>
  <c r="K47" i="3"/>
  <c r="L29" i="3"/>
  <c r="K29" i="3"/>
  <c r="L12" i="3"/>
  <c r="G46" i="3"/>
  <c r="G45" i="3" s="1"/>
  <c r="I46" i="3"/>
  <c r="H22" i="5"/>
  <c r="G22" i="5"/>
  <c r="K23" i="1"/>
  <c r="L23" i="1"/>
  <c r="E8" i="7" l="1"/>
  <c r="C6" i="8"/>
  <c r="G6" i="8" s="1"/>
  <c r="G7" i="8"/>
  <c r="L46" i="3"/>
  <c r="K11" i="3"/>
  <c r="K45" i="3"/>
  <c r="K46" i="3"/>
  <c r="L11" i="3"/>
  <c r="L34" i="1"/>
  <c r="K34" i="1"/>
  <c r="I45" i="3"/>
  <c r="L45" i="3" s="1"/>
  <c r="K10" i="3" l="1"/>
  <c r="L10" i="3"/>
</calcChain>
</file>

<file path=xl/sharedStrings.xml><?xml version="1.0" encoding="utf-8"?>
<sst xmlns="http://schemas.openxmlformats.org/spreadsheetml/2006/main" count="400" uniqueCount="280">
  <si>
    <t>PRIHODI UKUPNO</t>
  </si>
  <si>
    <t>RASHODI UKUPNO</t>
  </si>
  <si>
    <t>RAZLIKA - VIŠAK / MANJAK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</si>
  <si>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</si>
  <si>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</si>
  <si>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</si>
  <si>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</si>
  <si>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</si>
  <si>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</si>
  <si>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</si>
  <si>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</si>
  <si>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</si>
  <si>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Pomoći iz inozemstva i od subjekata unutar općeg proračuna</t>
  </si>
  <si>
    <t>PRIJENOS SREDSTAVA IZ PRETHODNE GODINE</t>
  </si>
  <si>
    <t>1 Opći prihodi i primici</t>
  </si>
  <si>
    <t>11 Opći prihodi i primici</t>
  </si>
  <si>
    <t>3 Vlastiti prihodi</t>
  </si>
  <si>
    <t>31 Vlastiti prihodi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</si>
  <si>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</si>
  <si>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</si>
  <si>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</si>
  <si>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</si>
  <si>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</si>
  <si>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</si>
  <si>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</si>
  <si>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</si>
  <si>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</si>
  <si>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proizvoda i robe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</si>
  <si>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</si>
  <si>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</si>
  <si>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</si>
  <si>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</si>
  <si>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</si>
  <si>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</si>
  <si>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</si>
  <si>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</si>
  <si>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</si>
  <si>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</si>
  <si>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</si>
  <si>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</si>
  <si>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</si>
  <si>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</si>
  <si>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</si>
  <si>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</si>
  <si>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</si>
  <si>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</si>
  <si>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</si>
  <si>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</si>
  <si>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</si>
  <si>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</si>
  <si>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</si>
  <si>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</si>
  <si>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1.-6.2023.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</si>
  <si>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</si>
  <si>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</si>
  <si>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</si>
  <si>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</si>
  <si>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</si>
  <si>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</si>
  <si>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 xml:space="preserve">Prihodi poslovanja </t>
  </si>
  <si>
    <t>632</t>
  </si>
  <si>
    <t>Pomoći od međunarodnih organizacija te institucija  i tijela EU</t>
  </si>
  <si>
    <t>6324</t>
  </si>
  <si>
    <t>Kapitalne pomoći od institucija i tijela EU</t>
  </si>
  <si>
    <t>634</t>
  </si>
  <si>
    <t>Pomoći od izvanproračunskih korisnika</t>
  </si>
  <si>
    <t>6341</t>
  </si>
  <si>
    <t xml:space="preserve">Tekuće pomoći od izvanproračunskih korisnika </t>
  </si>
  <si>
    <t>6342</t>
  </si>
  <si>
    <t>Kapitalne pomoći od izvanproračunskih korisnika</t>
  </si>
  <si>
    <t>639</t>
  </si>
  <si>
    <t>Prijenosi između proračunskih korisnika istog proračuna</t>
  </si>
  <si>
    <t>6391</t>
  </si>
  <si>
    <t>Tekući prijenosi između proračunskih korisnika istog proračuna</t>
  </si>
  <si>
    <t>6392</t>
  </si>
  <si>
    <t>Kapitalni prijenosti između proračunskih korisnika istog proračuna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</si>
  <si>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</si>
  <si>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</si>
  <si>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</si>
  <si>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</si>
  <si>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</si>
  <si>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</si>
  <si>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Prihodi od upravnih i administrativnih pristojbi, pristojbi po posebnim propisima i nakanda</t>
  </si>
  <si>
    <t>Prihodi po posebnim propisima</t>
  </si>
  <si>
    <t xml:space="preserve">Ostali nespomenuti prihodi </t>
  </si>
  <si>
    <t>Prihodi od prodaje proizvoda i robe te pruženih usluga i prihodi od donacija</t>
  </si>
  <si>
    <t>661</t>
  </si>
  <si>
    <t>6614</t>
  </si>
  <si>
    <t>6615</t>
  </si>
  <si>
    <t>Prihodi od pruženih usluga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</si>
  <si>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</si>
  <si>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</si>
  <si>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</si>
  <si>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</si>
  <si>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68</t>
  </si>
  <si>
    <t>Kazne, upravne mjere i ostali prihodi</t>
  </si>
  <si>
    <t>683</t>
  </si>
  <si>
    <t>Ostali prihodi</t>
  </si>
  <si>
    <t>6831</t>
  </si>
  <si>
    <t>Uredska oprema i namještaj</t>
  </si>
  <si>
    <t>Uređaji, strojevi i oprema za ostale namjene</t>
  </si>
  <si>
    <t>Prijevozna sredstva u cestovnom prometu</t>
  </si>
  <si>
    <t>PROGRAM  3401 ZAŠTITA PRIRODE</t>
  </si>
  <si>
    <t>A779000 Administracija i upravljanje</t>
  </si>
  <si>
    <t>Izvor: 1 Opći proračun</t>
  </si>
  <si>
    <t>Izvor: 11 Opći prihodi i primici</t>
  </si>
  <si>
    <t>31 Rashodi za zaposlene</t>
  </si>
  <si>
    <t>3111 Plaće za redovan rad</t>
  </si>
  <si>
    <t>3121 Ostali rashodi za zaposlene</t>
  </si>
  <si>
    <t>3132 Doprinosi za obvezno zdravstveno osiguranje</t>
  </si>
  <si>
    <t>32 Materijalni rashodi</t>
  </si>
  <si>
    <t>3211 Službena putovanja</t>
  </si>
  <si>
    <t>3212 Naknade za prijevoz, za rad na terenu i odvojeni život</t>
  </si>
  <si>
    <t>3213 Stručno usavršavanje zaposlenika</t>
  </si>
  <si>
    <t>3221 Uredski materijal i ostali materijalni rashodi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</si>
  <si>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</si>
  <si>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</si>
  <si>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</si>
  <si>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</si>
  <si>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</si>
  <si>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</si>
  <si>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</si>
  <si>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</si>
  <si>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</si>
  <si>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</si>
  <si>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</si>
  <si>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</si>
  <si>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</si>
  <si>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3291 Naknade za rad predstavničkih i izvršnih tijela, povjerenstava i slično</t>
  </si>
  <si>
    <t>3292 Premije osiguranja</t>
  </si>
  <si>
    <t>3294 Članarine</t>
  </si>
  <si>
    <t>34 Financijski rashodi</t>
  </si>
  <si>
    <t>3431 Bankarske usluge i usluge platnog prometa</t>
  </si>
  <si>
    <t>A779021 Zaštita prirode</t>
  </si>
  <si>
    <t>A779047 ADMINISTRACIJA I UPRAVLJANJE (IZ EVIDENCIJSKIH PRIHODA)</t>
  </si>
  <si>
    <t>Izvor: 3 Vlastiti prihodi</t>
  </si>
  <si>
    <t>Izvor: 31 Vlastiti prihodi</t>
  </si>
  <si>
    <t>42 Rashodi za nabavu proizvedene dugotrajne imovine</t>
  </si>
  <si>
    <t>4227 Uređaji, strojevi i oprema za ostale namjene</t>
  </si>
  <si>
    <t>Izvor: 4 Prihodi posebne namjene</t>
  </si>
  <si>
    <t>Izvor: 43 Ostali prihodi za posebne namjene</t>
  </si>
  <si>
    <t>3293 Reprezentacija</t>
  </si>
  <si>
    <t>3299 Ostali nespomenuti rashodi poslovanja</t>
  </si>
  <si>
    <t>Izvor: 5 Pomoći</t>
  </si>
  <si>
    <t>Izvor: 52 Ostale pomoći</t>
  </si>
  <si>
    <t>4 Prihodi posebne namjene</t>
  </si>
  <si>
    <t xml:space="preserve">  43 Ostali prihodi za posebne namjene</t>
  </si>
  <si>
    <t>5 Pomoći</t>
  </si>
  <si>
    <t xml:space="preserve">  52 Ostale pomoći</t>
  </si>
  <si>
    <t xml:space="preserve">  56 Fondovi EU</t>
  </si>
  <si>
    <t xml:space="preserve">  563 Europski fond za regionalni razvoj (ERDF)</t>
  </si>
  <si>
    <t xml:space="preserve">6 Donacije </t>
  </si>
  <si>
    <t xml:space="preserve">  61 Donacije</t>
  </si>
  <si>
    <t>7 Prihodi od prodaje ili zamjene nefinancijske imovine i naknade s naslova osiguranja</t>
  </si>
  <si>
    <t xml:space="preserve">  71 Prihodi od prodaje ili zamjene nefinancijske imovine i naknade s naslova osiguranja</t>
  </si>
  <si>
    <t>312</t>
  </si>
  <si>
    <t>Ostali rashodi za zaposlene</t>
  </si>
  <si>
    <t>3121</t>
  </si>
  <si>
    <t>Doprinosi na plaće</t>
  </si>
  <si>
    <t>Doprinosi za obvezno zdravstveno osiguranje</t>
  </si>
  <si>
    <t>3211</t>
  </si>
  <si>
    <t>3212</t>
  </si>
  <si>
    <t>Naknade za prijevoz, za rad na terenu i odvojeni život</t>
  </si>
  <si>
    <t>3213</t>
  </si>
  <si>
    <t>Stručno usavršavanje zaposlenika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</si>
  <si>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</si>
  <si>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</si>
  <si>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</si>
  <si>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</si>
  <si>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</si>
  <si>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</si>
  <si>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</si>
  <si>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</si>
  <si>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</si>
  <si>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</si>
  <si>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</si>
  <si>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</si>
  <si>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</si>
  <si>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Rashodi za usluge</t>
  </si>
  <si>
    <t>3231</t>
  </si>
  <si>
    <t>Usluge telefona, pošte i prijevoza</t>
  </si>
  <si>
    <t>3232</t>
  </si>
  <si>
    <t>Usluge tekućeg i investicijskog održavanja</t>
  </si>
  <si>
    <t>Usluge promidžbe i informiranja</t>
  </si>
  <si>
    <t>3234</t>
  </si>
  <si>
    <t>Komunalne usluge</t>
  </si>
  <si>
    <t>Zakupnine i najamnine</t>
  </si>
  <si>
    <t>Zdravstvene i veterinarske usluge</t>
  </si>
  <si>
    <t>Intelektualne i osobne usluge</t>
  </si>
  <si>
    <t>3238</t>
  </si>
  <si>
    <t>Računalne usluge</t>
  </si>
  <si>
    <t>3239</t>
  </si>
  <si>
    <t>Ostale usluge</t>
  </si>
  <si>
    <t>Ostali nespomenuti rashodi poslovanja</t>
  </si>
  <si>
    <t>3291</t>
  </si>
  <si>
    <t>Naknade za rad predstavničkih i izvršnih tijela, povjerenstava i slično</t>
  </si>
  <si>
    <t>Premije osiguranja</t>
  </si>
  <si>
    <t>3293</t>
  </si>
  <si>
    <t>Reprezentacija</t>
  </si>
  <si>
    <t>Članarine</t>
  </si>
  <si>
    <t>3299</t>
  </si>
  <si>
    <t>Financijski rashodi</t>
  </si>
  <si>
    <t>Ostali financijski rashodi</t>
  </si>
  <si>
    <t>3431</t>
  </si>
  <si>
    <t>Bankarske usluge i usluge platnog prometa</t>
  </si>
  <si>
    <t>36</t>
  </si>
  <si>
    <t>Pomoći dane u inozemstvo i unutar općeg proračuna</t>
  </si>
  <si>
    <t>Prijenosi između proračunskog korisnika istog proračuna</t>
  </si>
  <si>
    <t xml:space="preserve">Naknade troškova osobama izvan radnog odnosa </t>
  </si>
  <si>
    <t>Rashodi za nabavu proizvedene dug. imovine</t>
  </si>
  <si>
    <t>421</t>
  </si>
  <si>
    <t>Građevinski objekti</t>
  </si>
  <si>
    <t>4212</t>
  </si>
  <si>
    <t>Poslovni objekti</t>
  </si>
  <si>
    <t>4214</t>
  </si>
  <si>
    <t>Ostali građevinski objekti</t>
  </si>
  <si>
    <t>Postrojenja i oprema</t>
  </si>
  <si>
    <t>4221</t>
  </si>
  <si>
    <t>4223</t>
  </si>
  <si>
    <t>Oprema za održavanje i zaštitu</t>
  </si>
  <si>
    <t>4227</t>
  </si>
  <si>
    <t>423</t>
  </si>
  <si>
    <t>Prijevozna sredstva</t>
  </si>
  <si>
    <t>4231</t>
  </si>
  <si>
    <t>424</t>
  </si>
  <si>
    <t>Knjige, umjetnička djela i ostale izložbene vrijednosti</t>
  </si>
  <si>
    <t>4244</t>
  </si>
  <si>
    <t>Ostale nespomenute izložbene vrijednosti</t>
  </si>
  <si>
    <t>45</t>
  </si>
  <si>
    <t>Rashodi za dodatna ulaganja na nefinancijskoj imovini</t>
  </si>
  <si>
    <t>451</t>
  </si>
  <si>
    <t xml:space="preserve">Dodatna ulaganja na građevinskim objektima </t>
  </si>
  <si>
    <t>4511</t>
  </si>
  <si>
    <t>054 Zaštita bioraznolikosti i krajolika</t>
  </si>
  <si>
    <t>05 Zaštita okoliša</t>
  </si>
  <si>
    <t>Izvor 1</t>
  </si>
  <si>
    <t>Opći proračun</t>
  </si>
  <si>
    <t>Izvor 11</t>
  </si>
  <si>
    <t>Vlastiti prihodi</t>
  </si>
  <si>
    <t>Izvor 3</t>
  </si>
  <si>
    <t>Izvor 31</t>
  </si>
  <si>
    <t>Izvor 4</t>
  </si>
  <si>
    <t>Izvor 5</t>
  </si>
  <si>
    <t>Izvor 52</t>
  </si>
  <si>
    <t>Izvor 6</t>
  </si>
  <si>
    <t>Izvor 61</t>
  </si>
  <si>
    <t>Izvor 7</t>
  </si>
  <si>
    <t>Izvor 71</t>
  </si>
  <si>
    <t>Pomoći</t>
  </si>
  <si>
    <t>Donacije</t>
  </si>
  <si>
    <t>Prihodi od prodaje ili zamjene nefinancijske imovine</t>
  </si>
  <si>
    <t>34 ZAŠTITA I OČUVANJE PRIRODE I OKOLIŠA</t>
  </si>
  <si>
    <t xml:space="preserve">  Opći prihodi i primici</t>
  </si>
  <si>
    <t xml:space="preserve">  Ostali prihodi za posebne namjene</t>
  </si>
  <si>
    <t xml:space="preserve">  Ostale pomoći</t>
  </si>
  <si>
    <t xml:space="preserve">  Donacie</t>
  </si>
  <si>
    <t>NACIONALNI PARKOVI I PARKOVI PRIRODE</t>
  </si>
  <si>
    <t>+</t>
  </si>
  <si>
    <t>-</t>
  </si>
  <si>
    <t>Tekuće pomoći od institucija i tijela EU</t>
  </si>
  <si>
    <t>6393</t>
  </si>
  <si>
    <t>Tekući prijenosi između proračunskih korisnika istog proračuna temeljem prijenosa EU redstava</t>
  </si>
  <si>
    <t>Prihodi iz nadležnog proračuna i od HZZO-a temeljem ugovornih obveza</t>
  </si>
  <si>
    <t>JAVNA USTANOVA PARK PRIRODE ŽUMBERAK -SAMOBORSKO GORJE</t>
  </si>
  <si>
    <t>Izvor 43</t>
  </si>
  <si>
    <t>EUR</t>
  </si>
  <si>
    <t>IZVRŠENJE FINANCIJSKOG PLANA PRORAČUNSKOG KORISNIKA DRŽAVNOG PRORAČUNA
ZA PRVO POLUGODIŠTE 2024. GODINE</t>
  </si>
  <si>
    <t>IZVORNI PLAN ILI REBALANS 2024.*</t>
  </si>
  <si>
    <t>TEKUĆI PLAN 2024.*</t>
  </si>
  <si>
    <t xml:space="preserve">OSTVARENJE/IZVRŠENJE 
1.-6.2024. </t>
  </si>
  <si>
    <t>Napomena : Iznosi u stupcima "OSTVARENJE/IZVRŠENJE 1.-6.2023." i "OSTVARENJE/IZVRŠENJE 1.-6. 2024." iskazuju se na dvije decimale.</t>
  </si>
  <si>
    <t xml:space="preserve">** AKO Opći i Posebni dio polugodišnjeg izvještaja ne sadrži "TEKUĆI PLAN 2023.", "INDEKS"("OSTVARENJE/IZVRŠENJE 1.-6.2024."/"TEKUĆI PLAN 2024.") iskazuje se kao "OSTVARENJE/IZVRŠENJE 1.-6.2024."/"IZVORNI PLAN 2024." ODNOSNO "REBALANS 2024." </t>
  </si>
  <si>
    <t xml:space="preserve">OSTVARENJE/ IZVRŠENJE 
1.-6.2024. </t>
  </si>
  <si>
    <t xml:space="preserve"> IZVRŠENJE 
1.-6.2024. </t>
  </si>
  <si>
    <t>Donacije od pravnih i fizičkih osoba izvan općeg proračun</t>
  </si>
  <si>
    <t>Tekuće donacije</t>
  </si>
  <si>
    <t>Prihode od prodaje prijevoznih sredstava</t>
  </si>
  <si>
    <t>3691 Tekući prijenosi između proračunskih korisnika</t>
  </si>
  <si>
    <t>Napomena:  Iznosi u stupcu "OSTVARENJE/IZVRŠENJE 1.-6.2023." preračunavaju se iz kuna u eure prema fiksnom tečaju konverzije (1 EUR=7,53450 kuna) i po pravilima za preračunavanje i zaokruživanje.</t>
  </si>
  <si>
    <t>Napomena: do 16.5.2024. godine Javna Ustanova "Park prirode Žumberak-Samoborsko gorje" izvršavala je svoj plan unutar šifre glave 07715, odnosno unutar šifre razdjela 077.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</si>
</sst>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77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0" fillId="0" borderId="0" xfId="0" applyFont="1" applyAlignment="1">
      <alignment vertical="top" wrapText="1"/>
    </xf>
    <xf numFmtId="0" fontId="5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4" fontId="5" fillId="3" borderId="3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13" fillId="0" borderId="0" xfId="0" applyFont="1"/>
    <xf numFmtId="0" fontId="14" fillId="0" borderId="5" xfId="0" applyFont="1" applyBorder="1" applyAlignment="1">
      <alignment horizontal="right" vertical="center"/>
    </xf>
    <xf numFmtId="0" fontId="15" fillId="0" borderId="0" xfId="0" applyFont="1"/>
    <xf numFmtId="0" fontId="1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0" fontId="15" fillId="0" borderId="3" xfId="0" applyFont="1" applyBorder="1"/>
    <xf numFmtId="4" fontId="15" fillId="0" borderId="3" xfId="0" applyNumberFormat="1" applyFont="1" applyBorder="1"/>
    <xf numFmtId="3" fontId="5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4" fontId="16" fillId="2" borderId="3" xfId="0" applyNumberFormat="1" applyFont="1" applyFill="1" applyBorder="1" applyAlignment="1">
      <alignment wrapText="1"/>
    </xf>
    <xf numFmtId="4" fontId="16" fillId="2" borderId="3" xfId="0" applyNumberFormat="1" applyFont="1" applyFill="1" applyBorder="1"/>
    <xf numFmtId="4" fontId="6" fillId="2" borderId="3" xfId="0" applyNumberFormat="1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vertical="center" wrapText="1"/>
    </xf>
    <xf numFmtId="4" fontId="16" fillId="0" borderId="3" xfId="0" applyNumberFormat="1" applyFont="1" applyBorder="1"/>
    <xf numFmtId="0" fontId="7" fillId="2" borderId="3" xfId="0" applyFont="1" applyFill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right" vertical="center"/>
    </xf>
    <xf numFmtId="4" fontId="15" fillId="0" borderId="3" xfId="0" applyNumberFormat="1" applyFont="1" applyBorder="1" applyAlignment="1">
      <alignment horizontal="right" vertical="center"/>
    </xf>
    <xf numFmtId="4" fontId="18" fillId="0" borderId="4" xfId="0" applyNumberFormat="1" applyFont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/>
    </xf>
    <xf numFmtId="4" fontId="16" fillId="0" borderId="4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right"/>
    </xf>
    <xf numFmtId="0" fontId="15" fillId="0" borderId="3" xfId="0" applyFont="1" applyBorder="1" applyAlignment="1">
      <alignment vertical="center"/>
    </xf>
    <xf numFmtId="49" fontId="15" fillId="0" borderId="3" xfId="0" applyNumberFormat="1" applyFont="1" applyBorder="1" applyAlignment="1">
      <alignment horizontal="right" vertical="center"/>
    </xf>
    <xf numFmtId="4" fontId="15" fillId="0" borderId="3" xfId="0" applyNumberFormat="1" applyFont="1" applyBorder="1" applyAlignment="1">
      <alignment vertical="center"/>
    </xf>
    <xf numFmtId="0" fontId="15" fillId="0" borderId="3" xfId="0" applyFont="1" applyBorder="1" applyAlignment="1">
      <alignment vertical="center" wrapText="1"/>
    </xf>
    <xf numFmtId="4" fontId="15" fillId="0" borderId="3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vertical="center"/>
    </xf>
    <xf numFmtId="49" fontId="15" fillId="0" borderId="3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right"/>
    </xf>
    <xf numFmtId="0" fontId="12" fillId="4" borderId="6" xfId="0" applyFont="1" applyFill="1" applyBorder="1" applyAlignment="1">
      <alignment wrapText="1"/>
    </xf>
    <xf numFmtId="4" fontId="5" fillId="2" borderId="3" xfId="0" applyNumberFormat="1" applyFont="1" applyFill="1" applyBorder="1"/>
    <xf numFmtId="4" fontId="12" fillId="4" borderId="7" xfId="0" applyNumberFormat="1" applyFont="1" applyFill="1" applyBorder="1" applyAlignment="1">
      <alignment wrapText="1"/>
    </xf>
    <xf numFmtId="2" fontId="15" fillId="0" borderId="3" xfId="0" applyNumberFormat="1" applyFont="1" applyBorder="1"/>
    <xf numFmtId="4" fontId="15" fillId="2" borderId="3" xfId="0" applyNumberFormat="1" applyFont="1" applyFill="1" applyBorder="1" applyAlignment="1">
      <alignment wrapText="1"/>
    </xf>
    <xf numFmtId="4" fontId="15" fillId="2" borderId="3" xfId="0" applyNumberFormat="1" applyFont="1" applyFill="1" applyBorder="1"/>
    <xf numFmtId="0" fontId="15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3" fillId="3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wrapText="1"/>
    </xf>
    <xf numFmtId="0" fontId="6" fillId="2" borderId="3" xfId="0" applyFont="1" applyFill="1" applyBorder="1" applyAlignment="1">
      <alignment horizontal="left" vertical="center" wrapText="1" indent="1"/>
    </xf>
    <xf numFmtId="4" fontId="17" fillId="0" borderId="3" xfId="0" applyNumberFormat="1" applyFont="1" applyBorder="1" applyAlignment="1">
      <alignment horizontal="right" wrapText="1"/>
    </xf>
    <xf numFmtId="4" fontId="16" fillId="3" borderId="3" xfId="0" applyNumberFormat="1" applyFont="1" applyFill="1" applyBorder="1" applyAlignment="1">
      <alignment wrapText="1"/>
    </xf>
    <xf numFmtId="4" fontId="16" fillId="3" borderId="3" xfId="0" applyNumberFormat="1" applyFont="1" applyFill="1" applyBorder="1"/>
    <xf numFmtId="0" fontId="19" fillId="0" borderId="0" xfId="0" applyFont="1" applyAlignment="1">
      <alignment wrapText="1"/>
    </xf>
    <xf numFmtId="0" fontId="13" fillId="3" borderId="0" xfId="0" applyFont="1" applyFill="1"/>
    <xf numFmtId="0" fontId="13" fillId="0" borderId="0" xfId="0" applyFont="1" applyAlignment="1">
      <alignment horizontal="left"/>
    </xf>
    <xf numFmtId="0" fontId="13" fillId="3" borderId="0" xfId="0" applyFont="1" applyFill="1" applyAlignment="1">
      <alignment horizontal="left"/>
    </xf>
    <xf numFmtId="0" fontId="16" fillId="0" borderId="0" xfId="0" applyFont="1" applyAlignment="1">
      <alignment vertical="top" wrapText="1"/>
    </xf>
    <xf numFmtId="0" fontId="16" fillId="0" borderId="0" xfId="0" applyFont="1"/>
    <xf numFmtId="2" fontId="16" fillId="0" borderId="3" xfId="0" applyNumberFormat="1" applyFont="1" applyBorder="1"/>
    <xf numFmtId="0" fontId="5" fillId="3" borderId="4" xfId="0" applyFont="1" applyFill="1" applyBorder="1" applyAlignment="1">
      <alignment horizontal="left" vertical="center" wrapText="1"/>
    </xf>
    <xf numFmtId="4" fontId="21" fillId="0" borderId="3" xfId="0" applyNumberFormat="1" applyFont="1" applyBorder="1" applyAlignment="1">
      <alignment horizontal="right"/>
    </xf>
    <xf numFmtId="4" fontId="14" fillId="3" borderId="3" xfId="0" applyNumberFormat="1" applyFont="1" applyFill="1" applyBorder="1" applyAlignment="1">
      <alignment horizontal="right"/>
    </xf>
    <xf numFmtId="0" fontId="21" fillId="0" borderId="0" xfId="0" applyFont="1"/>
    <xf numFmtId="0" fontId="15" fillId="0" borderId="3" xfId="0" applyFont="1" applyBorder="1" applyAlignment="1">
      <alignment horizontal="left"/>
    </xf>
    <xf numFmtId="4" fontId="15" fillId="0" borderId="0" xfId="0" applyNumberFormat="1" applyFont="1"/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right" vertical="center"/>
    </xf>
    <xf numFmtId="0" fontId="16" fillId="0" borderId="3" xfId="0" quotePrefix="1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4" fontId="16" fillId="3" borderId="3" xfId="0" applyNumberFormat="1" applyFont="1" applyFill="1" applyBorder="1" applyAlignment="1">
      <alignment vertical="center"/>
    </xf>
    <xf numFmtId="4" fontId="16" fillId="3" borderId="3" xfId="0" applyNumberFormat="1" applyFont="1" applyFill="1" applyBorder="1" applyAlignment="1">
      <alignment horizontal="right"/>
    </xf>
    <xf numFmtId="4" fontId="16" fillId="3" borderId="3" xfId="0" applyNumberFormat="1" applyFont="1" applyFill="1" applyBorder="1" applyAlignment="1">
      <alignment vertical="center" wrapText="1"/>
    </xf>
    <xf numFmtId="0" fontId="16" fillId="0" borderId="3" xfId="0" quotePrefix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right" vertical="center" wrapText="1"/>
    </xf>
    <xf numFmtId="4" fontId="16" fillId="3" borderId="3" xfId="0" quotePrefix="1" applyNumberFormat="1" applyFont="1" applyFill="1" applyBorder="1" applyAlignment="1">
      <alignment horizontal="right" wrapText="1"/>
    </xf>
    <xf numFmtId="4" fontId="16" fillId="3" borderId="3" xfId="0" applyNumberFormat="1" applyFont="1" applyFill="1" applyBorder="1" applyAlignment="1">
      <alignment horizontal="right" wrapText="1"/>
    </xf>
    <xf numFmtId="4" fontId="0" fillId="0" borderId="0" xfId="0" applyNumberFormat="1"/>
    <xf numFmtId="0" fontId="12" fillId="0" borderId="2" xfId="0" applyFont="1" applyBorder="1"/>
    <xf numFmtId="0" fontId="15" fillId="0" borderId="4" xfId="0" applyFont="1" applyBorder="1"/>
    <xf numFmtId="0" fontId="15" fillId="2" borderId="1" xfId="0" applyFont="1" applyFill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wrapText="1"/>
    </xf>
    <xf numFmtId="0" fontId="5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2" borderId="1" xfId="0" applyFont="1" applyFill="1" applyBorder="1" applyAlignment="1">
      <alignment horizontal="left" wrapText="1"/>
    </xf>
    <xf numFmtId="0" fontId="17" fillId="0" borderId="2" xfId="0" applyFont="1" applyBorder="1"/>
    <xf numFmtId="0" fontId="16" fillId="0" borderId="4" xfId="0" applyFont="1" applyBorder="1"/>
    <xf numFmtId="0" fontId="15" fillId="2" borderId="1" xfId="0" applyFont="1" applyFill="1" applyBorder="1" applyAlignment="1">
      <alignment horizontal="left" wrapText="1"/>
    </xf>
    <xf numFmtId="0" fontId="12" fillId="0" borderId="2" xfId="0" applyFont="1" applyBorder="1"/>
    <xf numFmtId="0" fontId="15" fillId="0" borderId="4" xfId="0" applyFont="1" applyBorder="1"/>
    <xf numFmtId="0" fontId="15" fillId="2" borderId="2" xfId="0" applyFont="1" applyFill="1" applyBorder="1" applyAlignment="1">
      <alignment horizontal="left" wrapText="1"/>
    </xf>
    <xf numFmtId="0" fontId="15" fillId="2" borderId="4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wrapText="1"/>
    </xf>
    <xf numFmtId="0" fontId="17" fillId="3" borderId="2" xfId="0" applyFont="1" applyFill="1" applyBorder="1"/>
    <xf numFmtId="0" fontId="16" fillId="3" borderId="4" xfId="0" applyFont="1" applyFill="1" applyBorder="1"/>
    <xf numFmtId="0" fontId="12" fillId="0" borderId="2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2" fontId="16" fillId="2" borderId="3" xfId="0" applyNumberFormat="1" applyFont="1" applyFill="1" applyBorder="1" applyAlignment="1">
      <alignment horizontal="left" vertical="center" wrapText="1"/>
    </xf>
    <xf numFmtId="2" fontId="16" fillId="0" borderId="3" xfId="0" applyNumberFormat="1" applyFont="1" applyBorder="1" applyAlignment="1">
      <alignment horizontal="left" wrapText="1"/>
    </xf>
    <xf numFmtId="0" fontId="15" fillId="2" borderId="3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6" fillId="2" borderId="2" xfId="0" applyFont="1" applyFill="1" applyBorder="1" applyAlignment="1">
      <alignment horizontal="left" wrapText="1"/>
    </xf>
    <xf numFmtId="0" fontId="16" fillId="2" borderId="4" xfId="0" applyFont="1" applyFill="1" applyBorder="1" applyAlignment="1">
      <alignment horizontal="left" wrapText="1"/>
    </xf>
    <xf numFmtId="0" fontId="16" fillId="3" borderId="2" xfId="0" applyFont="1" applyFill="1" applyBorder="1"/>
    <xf numFmtId="0" fontId="16" fillId="2" borderId="2" xfId="0" applyFont="1" applyFill="1" applyBorder="1"/>
    <xf numFmtId="0" fontId="16" fillId="2" borderId="3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wrapText="1"/>
    </xf>
    <xf numFmtId="0" fontId="20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wrapText="1"/>
    </xf>
    <xf numFmtId="0" fontId="23" fillId="0" borderId="0" xfId="0" applyFont="1" applyAlignment="1">
      <alignment vertic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38099</xdr:rowOff>
    </xdr:from>
    <xdr:to>
      <xdr:col>11</xdr:col>
      <xdr:colOff>733425</xdr:colOff>
      <xdr:row>6</xdr:row>
      <xdr:rowOff>161924</xdr:rowOff>
    </xdr:to>
    <xdr:pic>
      <xdr:nvPicPr>
        <xdr:cNvPr id="2" name="Slika 7">
          <a:extLst>
            <a:ext uri="{FF2B5EF4-FFF2-40B4-BE49-F238E27FC236}">
              <a16:creationId xmlns:a16="http://schemas.microsoft.com/office/drawing/2014/main" id="{F881373A-4145-ADA5-DF8C-0242D66228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405"/>
        <a:stretch/>
      </xdr:blipFill>
      <xdr:spPr>
        <a:xfrm>
          <a:off x="638175" y="38099"/>
          <a:ext cx="12668250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AW83"/>
  <sheetViews>
    <sheetView tabSelected="1" topLeftCell="A37" zoomScaleNormal="100" workbookViewId="0">
      <selection activeCell="H53" sqref="H53"/>
    </sheetView>
  </sheetViews>
  <sheetFormatPr defaultRowHeight="14.25" x14ac:dyDescent="0.2"/>
  <cols>
    <col min="1" max="1" width="9.140625" style="28"/>
    <col min="2" max="2" width="9.85546875" style="28" customWidth="1"/>
    <col min="3" max="5" width="9.140625" style="28"/>
    <col min="6" max="10" width="25.28515625" style="28" customWidth="1"/>
    <col min="11" max="12" width="15.7109375" style="28" customWidth="1"/>
    <col min="13" max="13" width="25.28515625" style="28" customWidth="1"/>
    <col min="14" max="16384" width="9.140625" style="28"/>
  </cols>
  <sheetData>
    <row r="8" spans="1:13" ht="42" customHeight="1" x14ac:dyDescent="0.2">
      <c r="B8" s="110" t="s">
        <v>266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6"/>
    </row>
    <row r="9" spans="1:13" ht="18" customHeight="1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5.75" customHeight="1" x14ac:dyDescent="0.2">
      <c r="B10" s="110" t="s">
        <v>10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5"/>
    </row>
    <row r="11" spans="1:13" ht="18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</row>
    <row r="12" spans="1:13" ht="18" customHeight="1" x14ac:dyDescent="0.2">
      <c r="B12" s="110" t="s">
        <v>47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82"/>
    </row>
    <row r="13" spans="1:13" ht="18" customHeight="1" x14ac:dyDescent="0.2">
      <c r="A13" s="28" t="s">
        <v>265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82"/>
    </row>
    <row r="14" spans="1:13" ht="18" customHeight="1" x14ac:dyDescent="0.2">
      <c r="A14" s="30"/>
      <c r="B14" s="126" t="s">
        <v>58</v>
      </c>
      <c r="C14" s="126"/>
      <c r="D14" s="126"/>
      <c r="E14" s="126"/>
      <c r="F14" s="126"/>
      <c r="G14" s="95"/>
      <c r="H14" s="31"/>
      <c r="I14" s="31"/>
      <c r="J14" s="31"/>
      <c r="K14" s="96"/>
      <c r="L14" s="29"/>
    </row>
    <row r="15" spans="1:13" ht="25.5" x14ac:dyDescent="0.2">
      <c r="A15" s="30"/>
      <c r="B15" s="120" t="s">
        <v>6</v>
      </c>
      <c r="C15" s="120"/>
      <c r="D15" s="120"/>
      <c r="E15" s="120"/>
      <c r="F15" s="120"/>
      <c r="G15" s="97" t="s">
        <v>50</v>
      </c>
      <c r="H15" s="97" t="s">
        <v>267</v>
      </c>
      <c r="I15" s="97" t="s">
        <v>268</v>
      </c>
      <c r="J15" s="97" t="s">
        <v>269</v>
      </c>
      <c r="K15" s="97" t="s">
        <v>19</v>
      </c>
      <c r="L15" s="17" t="s">
        <v>45</v>
      </c>
    </row>
    <row r="16" spans="1:13" x14ac:dyDescent="0.2">
      <c r="A16" s="30"/>
      <c r="B16" s="121">
        <v>1</v>
      </c>
      <c r="C16" s="121"/>
      <c r="D16" s="121"/>
      <c r="E16" s="121"/>
      <c r="F16" s="122"/>
      <c r="G16" s="97">
        <v>2</v>
      </c>
      <c r="H16" s="98">
        <v>3</v>
      </c>
      <c r="I16" s="98">
        <v>4</v>
      </c>
      <c r="J16" s="98">
        <v>5</v>
      </c>
      <c r="K16" s="98" t="s">
        <v>32</v>
      </c>
      <c r="L16" s="2" t="s">
        <v>33</v>
      </c>
    </row>
    <row r="17" spans="1:49" x14ac:dyDescent="0.2">
      <c r="A17" s="30"/>
      <c r="B17" s="116" t="s">
        <v>21</v>
      </c>
      <c r="C17" s="117"/>
      <c r="D17" s="117"/>
      <c r="E17" s="117"/>
      <c r="F17" s="118"/>
      <c r="G17" s="57">
        <v>205618.58</v>
      </c>
      <c r="H17" s="57">
        <v>750033</v>
      </c>
      <c r="I17" s="57">
        <v>750033</v>
      </c>
      <c r="J17" s="57">
        <v>339656.42</v>
      </c>
      <c r="K17" s="57">
        <f>J17/G17*100</f>
        <v>165.18761096395082</v>
      </c>
      <c r="L17" s="27">
        <f>J17/I17*100</f>
        <v>45.285530103342118</v>
      </c>
    </row>
    <row r="18" spans="1:49" x14ac:dyDescent="0.2">
      <c r="A18" s="30"/>
      <c r="B18" s="119" t="s">
        <v>20</v>
      </c>
      <c r="C18" s="118"/>
      <c r="D18" s="118"/>
      <c r="E18" s="118"/>
      <c r="F18" s="118"/>
      <c r="G18" s="60">
        <v>0</v>
      </c>
      <c r="H18" s="57">
        <v>0</v>
      </c>
      <c r="I18" s="57">
        <v>0</v>
      </c>
      <c r="J18" s="57">
        <v>0</v>
      </c>
      <c r="K18" s="57" t="e">
        <f t="shared" ref="K18:K23" si="0">J18/G18*100</f>
        <v>#DIV/0!</v>
      </c>
      <c r="L18" s="27" t="e">
        <f t="shared" ref="L18:L23" si="1">J18/I18*100</f>
        <v>#DIV/0!</v>
      </c>
    </row>
    <row r="19" spans="1:49" x14ac:dyDescent="0.2">
      <c r="A19" s="30"/>
      <c r="B19" s="113" t="s">
        <v>0</v>
      </c>
      <c r="C19" s="114"/>
      <c r="D19" s="114"/>
      <c r="E19" s="114"/>
      <c r="F19" s="115"/>
      <c r="G19" s="99">
        <f>SUM(G17:G18)</f>
        <v>205618.58</v>
      </c>
      <c r="H19" s="99">
        <f t="shared" ref="H19:J19" si="2">SUM(H17:H18)</f>
        <v>750033</v>
      </c>
      <c r="I19" s="99">
        <f t="shared" si="2"/>
        <v>750033</v>
      </c>
      <c r="J19" s="99">
        <f t="shared" si="2"/>
        <v>339656.42</v>
      </c>
      <c r="K19" s="100">
        <f t="shared" si="0"/>
        <v>165.18761096395082</v>
      </c>
      <c r="L19" s="26">
        <f t="shared" si="1"/>
        <v>45.285530103342118</v>
      </c>
    </row>
    <row r="20" spans="1:49" x14ac:dyDescent="0.2">
      <c r="A20" s="30"/>
      <c r="B20" s="125" t="s">
        <v>22</v>
      </c>
      <c r="C20" s="117"/>
      <c r="D20" s="117"/>
      <c r="E20" s="117"/>
      <c r="F20" s="117"/>
      <c r="G20" s="57">
        <v>187769.05</v>
      </c>
      <c r="H20" s="57">
        <v>745814</v>
      </c>
      <c r="I20" s="57">
        <v>745814</v>
      </c>
      <c r="J20" s="57">
        <f>292094.11-4000</f>
        <v>288094.11</v>
      </c>
      <c r="K20" s="57">
        <f t="shared" si="0"/>
        <v>153.43003013542435</v>
      </c>
      <c r="L20" s="27">
        <f t="shared" si="1"/>
        <v>38.628144550786118</v>
      </c>
    </row>
    <row r="21" spans="1:49" x14ac:dyDescent="0.2">
      <c r="A21" s="30"/>
      <c r="B21" s="119" t="s">
        <v>23</v>
      </c>
      <c r="C21" s="118"/>
      <c r="D21" s="118"/>
      <c r="E21" s="118"/>
      <c r="F21" s="118"/>
      <c r="G21" s="60">
        <v>0</v>
      </c>
      <c r="H21" s="57">
        <v>4219</v>
      </c>
      <c r="I21" s="57">
        <v>4219</v>
      </c>
      <c r="J21" s="57">
        <v>4000</v>
      </c>
      <c r="K21" s="57" t="e">
        <f t="shared" si="0"/>
        <v>#DIV/0!</v>
      </c>
      <c r="L21" s="27">
        <f t="shared" si="1"/>
        <v>94.809196492059726</v>
      </c>
    </row>
    <row r="22" spans="1:49" x14ac:dyDescent="0.2">
      <c r="A22" s="30"/>
      <c r="B22" s="11" t="s">
        <v>1</v>
      </c>
      <c r="C22" s="12"/>
      <c r="D22" s="12"/>
      <c r="E22" s="12"/>
      <c r="F22" s="12"/>
      <c r="G22" s="99">
        <f>SUM(G20:G21)</f>
        <v>187769.05</v>
      </c>
      <c r="H22" s="99">
        <f>SUM(H20:H21)</f>
        <v>750033</v>
      </c>
      <c r="I22" s="99">
        <f t="shared" ref="I22:J22" si="3">SUM(I20:I21)</f>
        <v>750033</v>
      </c>
      <c r="J22" s="99">
        <f t="shared" si="3"/>
        <v>292094.11</v>
      </c>
      <c r="K22" s="100">
        <f t="shared" si="0"/>
        <v>155.56030666395765</v>
      </c>
      <c r="L22" s="26">
        <f t="shared" si="1"/>
        <v>38.944167789950576</v>
      </c>
    </row>
    <row r="23" spans="1:49" x14ac:dyDescent="0.2">
      <c r="A23" s="30"/>
      <c r="B23" s="124" t="s">
        <v>2</v>
      </c>
      <c r="C23" s="114"/>
      <c r="D23" s="114"/>
      <c r="E23" s="114"/>
      <c r="F23" s="114"/>
      <c r="G23" s="101">
        <f>G19-G22</f>
        <v>17849.53</v>
      </c>
      <c r="H23" s="101">
        <f>H19-H22</f>
        <v>0</v>
      </c>
      <c r="I23" s="101">
        <f>I19-I22</f>
        <v>0</v>
      </c>
      <c r="J23" s="101">
        <f>J19-J22</f>
        <v>47562.31</v>
      </c>
      <c r="K23" s="100">
        <f t="shared" si="0"/>
        <v>266.46253430762602</v>
      </c>
      <c r="L23" s="26" t="e">
        <f t="shared" si="1"/>
        <v>#DIV/0!</v>
      </c>
    </row>
    <row r="24" spans="1:49" x14ac:dyDescent="0.2">
      <c r="A24" s="30"/>
      <c r="B24" s="32"/>
      <c r="C24" s="33"/>
      <c r="D24" s="33"/>
      <c r="E24" s="33"/>
      <c r="F24" s="33"/>
      <c r="G24" s="35"/>
      <c r="H24" s="35"/>
      <c r="I24" s="35"/>
      <c r="J24" s="35"/>
      <c r="K24" s="30"/>
      <c r="L24" s="1"/>
      <c r="M24" s="1"/>
    </row>
    <row r="25" spans="1:49" ht="18" customHeight="1" x14ac:dyDescent="0.2">
      <c r="A25" s="30"/>
      <c r="B25" s="126" t="s">
        <v>55</v>
      </c>
      <c r="C25" s="126"/>
      <c r="D25" s="126"/>
      <c r="E25" s="126"/>
      <c r="F25" s="126"/>
      <c r="G25" s="35"/>
      <c r="H25" s="35"/>
      <c r="I25" s="35"/>
      <c r="J25" s="35"/>
      <c r="K25" s="30"/>
      <c r="L25" s="1"/>
      <c r="M25" s="1"/>
    </row>
    <row r="26" spans="1:49" ht="25.5" x14ac:dyDescent="0.2">
      <c r="A26" s="30"/>
      <c r="B26" s="120" t="s">
        <v>6</v>
      </c>
      <c r="C26" s="120"/>
      <c r="D26" s="120"/>
      <c r="E26" s="120"/>
      <c r="F26" s="120"/>
      <c r="G26" s="97" t="s">
        <v>50</v>
      </c>
      <c r="H26" s="98" t="s">
        <v>267</v>
      </c>
      <c r="I26" s="98" t="s">
        <v>268</v>
      </c>
      <c r="J26" s="98" t="s">
        <v>269</v>
      </c>
      <c r="K26" s="98" t="s">
        <v>19</v>
      </c>
      <c r="L26" s="2" t="s">
        <v>45</v>
      </c>
    </row>
    <row r="27" spans="1:49" x14ac:dyDescent="0.2">
      <c r="A27" s="30"/>
      <c r="B27" s="127">
        <v>1</v>
      </c>
      <c r="C27" s="128"/>
      <c r="D27" s="128"/>
      <c r="E27" s="128"/>
      <c r="F27" s="128"/>
      <c r="G27" s="102">
        <v>2</v>
      </c>
      <c r="H27" s="98">
        <v>3</v>
      </c>
      <c r="I27" s="98">
        <v>4</v>
      </c>
      <c r="J27" s="98">
        <v>5</v>
      </c>
      <c r="K27" s="98" t="s">
        <v>32</v>
      </c>
      <c r="L27" s="2" t="s">
        <v>33</v>
      </c>
    </row>
    <row r="28" spans="1:49" ht="15.75" customHeight="1" x14ac:dyDescent="0.2">
      <c r="A28" s="30"/>
      <c r="B28" s="116" t="s">
        <v>24</v>
      </c>
      <c r="C28" s="129"/>
      <c r="D28" s="129"/>
      <c r="E28" s="129"/>
      <c r="F28" s="129"/>
      <c r="G28" s="103">
        <v>0</v>
      </c>
      <c r="H28" s="66">
        <v>0</v>
      </c>
      <c r="I28" s="66">
        <v>0</v>
      </c>
      <c r="J28" s="66">
        <v>0</v>
      </c>
      <c r="K28" s="57" t="e">
        <f t="shared" ref="K28:K30" si="4">J28/G28*100</f>
        <v>#DIV/0!</v>
      </c>
      <c r="L28" s="90" t="e">
        <f t="shared" ref="L28:L30" si="5">J28/I28*100</f>
        <v>#DIV/0!</v>
      </c>
    </row>
    <row r="29" spans="1:49" x14ac:dyDescent="0.2">
      <c r="A29" s="30"/>
      <c r="B29" s="116" t="s">
        <v>25</v>
      </c>
      <c r="C29" s="117"/>
      <c r="D29" s="117"/>
      <c r="E29" s="117"/>
      <c r="F29" s="117"/>
      <c r="G29" s="62">
        <v>0</v>
      </c>
      <c r="H29" s="66">
        <v>0</v>
      </c>
      <c r="I29" s="66">
        <v>0</v>
      </c>
      <c r="J29" s="66">
        <v>0</v>
      </c>
      <c r="K29" s="57" t="e">
        <f t="shared" si="4"/>
        <v>#DIV/0!</v>
      </c>
      <c r="L29" s="90" t="e">
        <f t="shared" si="5"/>
        <v>#DIV/0!</v>
      </c>
    </row>
    <row r="30" spans="1:49" ht="15" customHeight="1" x14ac:dyDescent="0.2">
      <c r="A30" s="30"/>
      <c r="B30" s="130" t="s">
        <v>46</v>
      </c>
      <c r="C30" s="131"/>
      <c r="D30" s="131"/>
      <c r="E30" s="131"/>
      <c r="F30" s="132"/>
      <c r="G30" s="104">
        <f>G28-G29</f>
        <v>0</v>
      </c>
      <c r="H30" s="104">
        <f t="shared" ref="H30:J30" si="6">H28-H29</f>
        <v>0</v>
      </c>
      <c r="I30" s="104">
        <f t="shared" si="6"/>
        <v>0</v>
      </c>
      <c r="J30" s="104">
        <f t="shared" si="6"/>
        <v>0</v>
      </c>
      <c r="K30" s="57" t="e">
        <f t="shared" si="4"/>
        <v>#DIV/0!</v>
      </c>
      <c r="L30" s="90" t="e">
        <f t="shared" si="5"/>
        <v>#DIV/0!</v>
      </c>
    </row>
    <row r="31" spans="1:49" s="83" customFormat="1" ht="15" customHeight="1" x14ac:dyDescent="0.2">
      <c r="A31" s="30"/>
      <c r="B31" s="116" t="s">
        <v>13</v>
      </c>
      <c r="C31" s="117"/>
      <c r="D31" s="117"/>
      <c r="E31" s="117"/>
      <c r="F31" s="117"/>
      <c r="G31" s="62">
        <v>3565.59</v>
      </c>
      <c r="H31" s="66">
        <v>3566</v>
      </c>
      <c r="I31" s="66">
        <f>3566</f>
        <v>3566</v>
      </c>
      <c r="J31" s="66">
        <v>3565.59</v>
      </c>
      <c r="K31" s="57">
        <f>J31/G31*100</f>
        <v>100</v>
      </c>
      <c r="L31" s="90">
        <f>J31/I31*100</f>
        <v>99.988502523836232</v>
      </c>
      <c r="M31" s="28" t="s">
        <v>257</v>
      </c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</row>
    <row r="32" spans="1:49" s="83" customFormat="1" ht="15" customHeight="1" x14ac:dyDescent="0.2">
      <c r="A32" s="30"/>
      <c r="B32" s="116" t="s">
        <v>54</v>
      </c>
      <c r="C32" s="117"/>
      <c r="D32" s="117"/>
      <c r="E32" s="117"/>
      <c r="F32" s="117"/>
      <c r="G32" s="62">
        <f>-21415.12</f>
        <v>-21415.119999999999</v>
      </c>
      <c r="H32" s="66">
        <v>-3566</v>
      </c>
      <c r="I32" s="66">
        <f>-3566</f>
        <v>-3566</v>
      </c>
      <c r="J32" s="66">
        <v>-51127.9</v>
      </c>
      <c r="K32" s="57">
        <f t="shared" ref="K32:K34" si="7">J32/G32*100</f>
        <v>238.7467359510477</v>
      </c>
      <c r="L32" s="90">
        <f t="shared" ref="L32:L34" si="8">J32/I32*100</f>
        <v>1433.7605159842963</v>
      </c>
      <c r="M32" s="28" t="s">
        <v>258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</row>
    <row r="33" spans="1:49" s="85" customFormat="1" x14ac:dyDescent="0.2">
      <c r="A33" s="34"/>
      <c r="B33" s="130" t="s">
        <v>56</v>
      </c>
      <c r="C33" s="131"/>
      <c r="D33" s="131"/>
      <c r="E33" s="131"/>
      <c r="F33" s="132"/>
      <c r="G33" s="104">
        <f>SUM(G31:G32)</f>
        <v>-17849.53</v>
      </c>
      <c r="H33" s="104">
        <f t="shared" ref="H33:J33" si="9">SUM(H31:H32)</f>
        <v>0</v>
      </c>
      <c r="I33" s="104">
        <f t="shared" si="9"/>
        <v>0</v>
      </c>
      <c r="J33" s="104">
        <f t="shared" si="9"/>
        <v>-47562.31</v>
      </c>
      <c r="K33" s="100">
        <f t="shared" si="7"/>
        <v>266.46253430762602</v>
      </c>
      <c r="L33" s="91" t="e">
        <f t="shared" si="8"/>
        <v>#DIV/0!</v>
      </c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</row>
    <row r="34" spans="1:49" x14ac:dyDescent="0.2">
      <c r="A34" s="30"/>
      <c r="B34" s="123" t="s">
        <v>57</v>
      </c>
      <c r="C34" s="123"/>
      <c r="D34" s="123"/>
      <c r="E34" s="123"/>
      <c r="F34" s="123"/>
      <c r="G34" s="105">
        <f>G23+G33</f>
        <v>0</v>
      </c>
      <c r="H34" s="105">
        <f>H23+H33</f>
        <v>0</v>
      </c>
      <c r="I34" s="105">
        <f t="shared" ref="I34:J34" si="10">I23+I33</f>
        <v>0</v>
      </c>
      <c r="J34" s="105">
        <f t="shared" si="10"/>
        <v>0</v>
      </c>
      <c r="K34" s="100" t="e">
        <f t="shared" si="7"/>
        <v>#DIV/0!</v>
      </c>
      <c r="L34" s="91" t="e">
        <f t="shared" si="8"/>
        <v>#DIV/0!</v>
      </c>
    </row>
    <row r="35" spans="1:49" x14ac:dyDescent="0.2">
      <c r="A35" s="30"/>
      <c r="B35" s="30"/>
      <c r="C35" s="30"/>
      <c r="D35" s="30"/>
      <c r="E35" s="30"/>
      <c r="F35" s="30"/>
      <c r="G35" s="92"/>
      <c r="H35" s="92"/>
      <c r="I35" s="92"/>
      <c r="J35" s="92"/>
      <c r="K35" s="92"/>
      <c r="L35" s="92"/>
    </row>
    <row r="36" spans="1:49" x14ac:dyDescent="0.2">
      <c r="A36" s="30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49" x14ac:dyDescent="0.2">
      <c r="A37" s="30"/>
      <c r="B37" s="111" t="s">
        <v>278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</row>
    <row r="38" spans="1:49" ht="15" customHeight="1" x14ac:dyDescent="0.2">
      <c r="A38" s="30"/>
      <c r="B38" s="111" t="s">
        <v>270</v>
      </c>
      <c r="C38" s="111"/>
      <c r="D38" s="111"/>
      <c r="E38" s="111"/>
      <c r="F38" s="111"/>
      <c r="G38" s="111"/>
      <c r="H38" s="111"/>
      <c r="I38" s="111"/>
      <c r="J38" s="111"/>
      <c r="K38" s="111"/>
      <c r="L38" s="111"/>
    </row>
    <row r="39" spans="1:49" ht="15" customHeight="1" x14ac:dyDescent="0.2">
      <c r="A39" s="30"/>
      <c r="B39" s="111" t="s">
        <v>51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49" ht="36.75" customHeight="1" x14ac:dyDescent="0.2">
      <c r="A40" s="3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</row>
    <row r="41" spans="1:49" ht="15" customHeight="1" x14ac:dyDescent="0.2">
      <c r="A41" s="30"/>
      <c r="B41" s="112" t="s">
        <v>271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</row>
    <row r="42" spans="1:49" x14ac:dyDescent="0.2">
      <c r="A42" s="30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</row>
    <row r="43" spans="1:49" x14ac:dyDescent="0.2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1:49" x14ac:dyDescent="0.2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</row>
    <row r="45" spans="1:49" ht="15.75" x14ac:dyDescent="0.2">
      <c r="A45" s="30"/>
      <c r="B45" s="176" t="s">
        <v>279</v>
      </c>
      <c r="D45" s="30"/>
      <c r="E45" s="30"/>
      <c r="F45" s="30"/>
      <c r="G45" s="30"/>
      <c r="H45" s="30"/>
      <c r="I45" s="30"/>
      <c r="J45" s="30"/>
      <c r="K45" s="30"/>
      <c r="L45" s="30"/>
    </row>
    <row r="46" spans="1:49" x14ac:dyDescent="0.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</row>
    <row r="47" spans="1:49" x14ac:dyDescent="0.2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</row>
    <row r="48" spans="1:49" x14ac:dyDescent="0.2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  <row r="49" spans="1:12" x14ac:dyDescent="0.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1:12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</row>
    <row r="51" spans="1:12" x14ac:dyDescent="0.2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  <row r="52" spans="1:12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</row>
    <row r="53" spans="1:12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</row>
    <row r="54" spans="1:12" x14ac:dyDescent="0.2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</row>
    <row r="55" spans="1:12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</row>
    <row r="56" spans="1:12" x14ac:dyDescent="0.2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</row>
    <row r="57" spans="1:12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</row>
    <row r="58" spans="1:12" x14ac:dyDescent="0.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</row>
    <row r="59" spans="1:12" x14ac:dyDescent="0.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</row>
    <row r="60" spans="1:12" x14ac:dyDescent="0.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</row>
    <row r="61" spans="1:12" x14ac:dyDescent="0.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</row>
    <row r="62" spans="1:12" x14ac:dyDescent="0.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</row>
    <row r="63" spans="1:12" x14ac:dyDescent="0.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</row>
    <row r="64" spans="1:12" x14ac:dyDescent="0.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</row>
    <row r="65" spans="1:12" x14ac:dyDescent="0.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</row>
    <row r="66" spans="1:12" x14ac:dyDescent="0.2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</row>
    <row r="67" spans="1:12" x14ac:dyDescent="0.2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</row>
    <row r="68" spans="1:12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</row>
    <row r="69" spans="1:12" x14ac:dyDescent="0.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</row>
    <row r="70" spans="1:12" x14ac:dyDescent="0.2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</row>
    <row r="71" spans="1:12" x14ac:dyDescent="0.2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</row>
    <row r="72" spans="1:12" x14ac:dyDescent="0.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</row>
    <row r="73" spans="1:12" x14ac:dyDescent="0.2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1:12" x14ac:dyDescent="0.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</row>
    <row r="75" spans="1:12" x14ac:dyDescent="0.2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</row>
    <row r="76" spans="1:12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</row>
    <row r="77" spans="1:12" x14ac:dyDescent="0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</row>
    <row r="78" spans="1:12" x14ac:dyDescent="0.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</row>
    <row r="79" spans="1:12" x14ac:dyDescent="0.2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</row>
    <row r="80" spans="1:12" x14ac:dyDescent="0.2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</row>
    <row r="81" spans="1:12" x14ac:dyDescent="0.2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</row>
    <row r="82" spans="1:12" x14ac:dyDescent="0.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</row>
    <row r="83" spans="1:12" x14ac:dyDescent="0.2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</row>
  </sheetData>
  <mergeCells count="26">
    <mergeCell ref="B38:L38"/>
    <mergeCell ref="B14:F14"/>
    <mergeCell ref="B25:F25"/>
    <mergeCell ref="B31:F31"/>
    <mergeCell ref="B32:F32"/>
    <mergeCell ref="B26:F26"/>
    <mergeCell ref="B27:F27"/>
    <mergeCell ref="B28:F28"/>
    <mergeCell ref="B33:F33"/>
    <mergeCell ref="B30:F30"/>
    <mergeCell ref="B12:L12"/>
    <mergeCell ref="B10:L10"/>
    <mergeCell ref="B8:L8"/>
    <mergeCell ref="B39:L40"/>
    <mergeCell ref="B41:L42"/>
    <mergeCell ref="B19:F19"/>
    <mergeCell ref="B29:F29"/>
    <mergeCell ref="B17:F17"/>
    <mergeCell ref="B18:F18"/>
    <mergeCell ref="B15:F15"/>
    <mergeCell ref="B16:F16"/>
    <mergeCell ref="B34:F34"/>
    <mergeCell ref="B21:F21"/>
    <mergeCell ref="B23:F23"/>
    <mergeCell ref="B20:F20"/>
    <mergeCell ref="B37:L3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8"/>
  <sheetViews>
    <sheetView topLeftCell="C82" zoomScale="90" zoomScaleNormal="90" workbookViewId="0">
      <selection activeCell="J106" sqref="J10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62.85546875" customWidth="1"/>
    <col min="7" max="10" width="25.28515625" customWidth="1"/>
    <col min="11" max="12" width="15.7109375" customWidth="1"/>
    <col min="13" max="14" width="10.42578125" bestFit="1" customWidth="1"/>
  </cols>
  <sheetData>
    <row r="1" spans="1:14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4" ht="15.75" customHeight="1" x14ac:dyDescent="0.25">
      <c r="B2" s="110" t="s">
        <v>10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4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1:14" ht="15.75" customHeight="1" x14ac:dyDescent="0.25">
      <c r="B4" s="110" t="s">
        <v>49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1:14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1:14" ht="15.75" customHeight="1" x14ac:dyDescent="0.25">
      <c r="B6" s="110" t="s">
        <v>34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</row>
    <row r="7" spans="1:14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1:14" ht="45" customHeight="1" x14ac:dyDescent="0.25">
      <c r="A8" s="28"/>
      <c r="B8" s="136" t="s">
        <v>6</v>
      </c>
      <c r="C8" s="137"/>
      <c r="D8" s="137"/>
      <c r="E8" s="137"/>
      <c r="F8" s="138"/>
      <c r="G8" s="20" t="s">
        <v>18</v>
      </c>
      <c r="H8" s="20" t="s">
        <v>267</v>
      </c>
      <c r="I8" s="20" t="s">
        <v>268</v>
      </c>
      <c r="J8" s="20" t="s">
        <v>272</v>
      </c>
      <c r="K8" s="20" t="s">
        <v>19</v>
      </c>
      <c r="L8" s="20" t="s">
        <v>45</v>
      </c>
    </row>
    <row r="9" spans="1:14" x14ac:dyDescent="0.25">
      <c r="A9" s="28"/>
      <c r="B9" s="136">
        <v>1</v>
      </c>
      <c r="C9" s="137"/>
      <c r="D9" s="137"/>
      <c r="E9" s="137"/>
      <c r="F9" s="138"/>
      <c r="G9" s="20">
        <v>2</v>
      </c>
      <c r="H9" s="20">
        <v>3</v>
      </c>
      <c r="I9" s="20">
        <v>4</v>
      </c>
      <c r="J9" s="20">
        <v>5</v>
      </c>
      <c r="K9" s="20" t="s">
        <v>32</v>
      </c>
      <c r="L9" s="20" t="s">
        <v>33</v>
      </c>
    </row>
    <row r="10" spans="1:14" x14ac:dyDescent="0.25">
      <c r="A10" s="28"/>
      <c r="B10" s="7"/>
      <c r="C10" s="7"/>
      <c r="D10" s="7"/>
      <c r="E10" s="7"/>
      <c r="F10" s="7" t="s">
        <v>44</v>
      </c>
      <c r="G10" s="37">
        <f>G11</f>
        <v>205618.58</v>
      </c>
      <c r="H10" s="37">
        <f>H11</f>
        <v>750033</v>
      </c>
      <c r="I10" s="37">
        <f>I11</f>
        <v>750033</v>
      </c>
      <c r="J10" s="37">
        <f>J11</f>
        <v>339656.42000000004</v>
      </c>
      <c r="K10" s="37">
        <f>J10/G10*100</f>
        <v>165.18761096395085</v>
      </c>
      <c r="L10" s="37">
        <f>J10/I10*100</f>
        <v>45.285530103342126</v>
      </c>
      <c r="N10" s="106"/>
    </row>
    <row r="11" spans="1:14" x14ac:dyDescent="0.25">
      <c r="A11" s="28"/>
      <c r="B11" s="9">
        <v>6</v>
      </c>
      <c r="C11" s="9"/>
      <c r="D11" s="38"/>
      <c r="E11" s="9"/>
      <c r="F11" s="9" t="s">
        <v>59</v>
      </c>
      <c r="G11" s="36">
        <f>G12+G23+G26+G29+G38+G35+G33+G41</f>
        <v>205618.58</v>
      </c>
      <c r="H11" s="36">
        <f t="shared" ref="H11:J11" si="0">H12+H23+H26+H29+H38+H35+H33+H41</f>
        <v>750033</v>
      </c>
      <c r="I11" s="36">
        <f t="shared" si="0"/>
        <v>750033</v>
      </c>
      <c r="J11" s="36">
        <f t="shared" si="0"/>
        <v>339656.42000000004</v>
      </c>
      <c r="K11" s="36">
        <f t="shared" ref="K11:K40" si="1">J11/G11*100</f>
        <v>165.18761096395085</v>
      </c>
      <c r="L11" s="36">
        <f t="shared" ref="L11:L40" si="2">J11/I11*100</f>
        <v>45.285530103342126</v>
      </c>
    </row>
    <row r="12" spans="1:14" x14ac:dyDescent="0.25">
      <c r="A12" s="28"/>
      <c r="B12" s="9"/>
      <c r="C12" s="9">
        <v>63</v>
      </c>
      <c r="D12" s="38"/>
      <c r="E12" s="9"/>
      <c r="F12" s="9" t="s">
        <v>12</v>
      </c>
      <c r="G12" s="36">
        <f>G13+G16+G19</f>
        <v>15190.57</v>
      </c>
      <c r="H12" s="36">
        <f t="shared" ref="H12:J12" si="3">H13+H16+H19</f>
        <v>183228</v>
      </c>
      <c r="I12" s="36">
        <f t="shared" si="3"/>
        <v>183228</v>
      </c>
      <c r="J12" s="36">
        <f t="shared" si="3"/>
        <v>5087.08</v>
      </c>
      <c r="K12" s="36">
        <f t="shared" si="1"/>
        <v>33.488407610774317</v>
      </c>
      <c r="L12" s="36">
        <f t="shared" si="2"/>
        <v>2.7763660575894513</v>
      </c>
    </row>
    <row r="13" spans="1:14" x14ac:dyDescent="0.25">
      <c r="A13" s="28"/>
      <c r="B13" s="9"/>
      <c r="C13" s="38"/>
      <c r="D13" s="9" t="s">
        <v>60</v>
      </c>
      <c r="E13" s="9"/>
      <c r="F13" s="9" t="s">
        <v>61</v>
      </c>
      <c r="G13" s="36">
        <f>G15+G14</f>
        <v>0</v>
      </c>
      <c r="H13" s="36">
        <f t="shared" ref="H13:J13" si="4">H15+H14</f>
        <v>0</v>
      </c>
      <c r="I13" s="36">
        <f t="shared" si="4"/>
        <v>0</v>
      </c>
      <c r="J13" s="36">
        <f t="shared" si="4"/>
        <v>0</v>
      </c>
      <c r="K13" s="36" t="e">
        <f t="shared" si="1"/>
        <v>#DIV/0!</v>
      </c>
      <c r="L13" s="36" t="e">
        <f t="shared" si="2"/>
        <v>#DIV/0!</v>
      </c>
    </row>
    <row r="14" spans="1:14" x14ac:dyDescent="0.25">
      <c r="A14" s="28"/>
      <c r="B14" s="9"/>
      <c r="C14" s="38"/>
      <c r="D14" s="9"/>
      <c r="E14" s="9">
        <v>6323</v>
      </c>
      <c r="F14" s="9" t="s">
        <v>259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/>
    </row>
    <row r="15" spans="1:14" x14ac:dyDescent="0.25">
      <c r="A15" s="28"/>
      <c r="B15" s="9"/>
      <c r="C15" s="38"/>
      <c r="D15" s="38"/>
      <c r="E15" s="9" t="s">
        <v>62</v>
      </c>
      <c r="F15" s="9" t="s">
        <v>63</v>
      </c>
      <c r="G15" s="36">
        <v>0</v>
      </c>
      <c r="H15" s="36">
        <v>0</v>
      </c>
      <c r="I15" s="36">
        <v>0</v>
      </c>
      <c r="J15" s="39">
        <v>0</v>
      </c>
      <c r="K15" s="36" t="e">
        <f t="shared" si="1"/>
        <v>#DIV/0!</v>
      </c>
      <c r="L15" s="36" t="e">
        <f t="shared" si="2"/>
        <v>#DIV/0!</v>
      </c>
    </row>
    <row r="16" spans="1:14" x14ac:dyDescent="0.25">
      <c r="A16" s="28"/>
      <c r="B16" s="9"/>
      <c r="C16" s="38"/>
      <c r="D16" s="9" t="s">
        <v>64</v>
      </c>
      <c r="E16" s="9"/>
      <c r="F16" s="9" t="s">
        <v>65</v>
      </c>
      <c r="G16" s="36">
        <f>G17+G18</f>
        <v>5925.55</v>
      </c>
      <c r="H16" s="36">
        <f t="shared" ref="H16:J16" si="5">H17+H18</f>
        <v>90606</v>
      </c>
      <c r="I16" s="36">
        <f t="shared" si="5"/>
        <v>90606</v>
      </c>
      <c r="J16" s="36">
        <f t="shared" si="5"/>
        <v>0</v>
      </c>
      <c r="K16" s="36">
        <f t="shared" si="1"/>
        <v>0</v>
      </c>
      <c r="L16" s="36">
        <f t="shared" si="2"/>
        <v>0</v>
      </c>
    </row>
    <row r="17" spans="1:12" x14ac:dyDescent="0.25">
      <c r="A17" s="28"/>
      <c r="B17" s="9"/>
      <c r="C17" s="38"/>
      <c r="D17" s="38"/>
      <c r="E17" s="9" t="s">
        <v>66</v>
      </c>
      <c r="F17" s="9" t="s">
        <v>67</v>
      </c>
      <c r="G17" s="39">
        <v>5925.55</v>
      </c>
      <c r="H17" s="36">
        <v>90606</v>
      </c>
      <c r="I17" s="36">
        <v>90606</v>
      </c>
      <c r="J17" s="39">
        <v>0</v>
      </c>
      <c r="K17" s="36">
        <f t="shared" si="1"/>
        <v>0</v>
      </c>
      <c r="L17" s="36">
        <f t="shared" si="2"/>
        <v>0</v>
      </c>
    </row>
    <row r="18" spans="1:12" x14ac:dyDescent="0.25">
      <c r="A18" s="28"/>
      <c r="B18" s="9"/>
      <c r="C18" s="38"/>
      <c r="D18" s="38"/>
      <c r="E18" s="9" t="s">
        <v>68</v>
      </c>
      <c r="F18" s="9" t="s">
        <v>69</v>
      </c>
      <c r="G18" s="36">
        <v>0</v>
      </c>
      <c r="H18" s="36">
        <v>0</v>
      </c>
      <c r="I18" s="36">
        <v>0</v>
      </c>
      <c r="J18" s="39">
        <v>0</v>
      </c>
      <c r="K18" s="36" t="e">
        <f t="shared" si="1"/>
        <v>#DIV/0!</v>
      </c>
      <c r="L18" s="36" t="e">
        <f>J18/I18*100</f>
        <v>#DIV/0!</v>
      </c>
    </row>
    <row r="19" spans="1:12" x14ac:dyDescent="0.25">
      <c r="A19" s="28"/>
      <c r="B19" s="9"/>
      <c r="C19" s="38"/>
      <c r="D19" s="9" t="s">
        <v>70</v>
      </c>
      <c r="E19" s="9"/>
      <c r="F19" s="9" t="s">
        <v>71</v>
      </c>
      <c r="G19" s="36">
        <f>G20+G21+G22</f>
        <v>9265.02</v>
      </c>
      <c r="H19" s="36">
        <f t="shared" ref="H19:I19" si="6">H20+H21+H22</f>
        <v>92622</v>
      </c>
      <c r="I19" s="36">
        <f t="shared" si="6"/>
        <v>92622</v>
      </c>
      <c r="J19" s="36">
        <f t="shared" ref="J19" si="7">J20+J21+J22</f>
        <v>5087.08</v>
      </c>
      <c r="K19" s="36">
        <f t="shared" si="1"/>
        <v>54.906303494218037</v>
      </c>
      <c r="L19" s="36">
        <f t="shared" si="2"/>
        <v>5.4923020448705495</v>
      </c>
    </row>
    <row r="20" spans="1:12" x14ac:dyDescent="0.25">
      <c r="A20" s="28"/>
      <c r="B20" s="9"/>
      <c r="C20" s="38"/>
      <c r="D20" s="38"/>
      <c r="E20" s="9" t="s">
        <v>72</v>
      </c>
      <c r="F20" s="9" t="s">
        <v>73</v>
      </c>
      <c r="G20" s="36">
        <v>4643.0200000000004</v>
      </c>
      <c r="H20" s="36">
        <v>44000</v>
      </c>
      <c r="I20" s="36">
        <v>44000</v>
      </c>
      <c r="J20" s="39">
        <v>0</v>
      </c>
      <c r="K20" s="36">
        <f t="shared" si="1"/>
        <v>0</v>
      </c>
      <c r="L20" s="36">
        <f t="shared" si="2"/>
        <v>0</v>
      </c>
    </row>
    <row r="21" spans="1:12" x14ac:dyDescent="0.25">
      <c r="A21" s="28"/>
      <c r="B21" s="9"/>
      <c r="C21" s="38"/>
      <c r="D21" s="38"/>
      <c r="E21" s="9" t="s">
        <v>74</v>
      </c>
      <c r="F21" s="9" t="s">
        <v>75</v>
      </c>
      <c r="G21" s="36">
        <v>0</v>
      </c>
      <c r="H21" s="36">
        <v>44000</v>
      </c>
      <c r="I21" s="36">
        <v>44000</v>
      </c>
      <c r="J21" s="39">
        <v>0</v>
      </c>
      <c r="K21" s="36" t="e">
        <f t="shared" si="1"/>
        <v>#DIV/0!</v>
      </c>
      <c r="L21" s="36">
        <f t="shared" si="2"/>
        <v>0</v>
      </c>
    </row>
    <row r="22" spans="1:12" ht="25.5" x14ac:dyDescent="0.25">
      <c r="A22" s="28"/>
      <c r="B22" s="9"/>
      <c r="C22" s="38"/>
      <c r="D22" s="38"/>
      <c r="E22" s="9" t="s">
        <v>260</v>
      </c>
      <c r="F22" s="9" t="s">
        <v>261</v>
      </c>
      <c r="G22" s="36">
        <v>4622</v>
      </c>
      <c r="H22" s="36">
        <v>4622</v>
      </c>
      <c r="I22" s="36">
        <v>4622</v>
      </c>
      <c r="J22" s="39">
        <v>5087.08</v>
      </c>
      <c r="K22" s="36">
        <f t="shared" si="1"/>
        <v>110.06231068801384</v>
      </c>
      <c r="L22" s="36">
        <f t="shared" si="2"/>
        <v>110.06231068801384</v>
      </c>
    </row>
    <row r="23" spans="1:12" x14ac:dyDescent="0.25">
      <c r="A23" s="28"/>
      <c r="B23" s="9"/>
      <c r="C23" s="9" t="s">
        <v>76</v>
      </c>
      <c r="D23" s="38"/>
      <c r="E23" s="9"/>
      <c r="F23" s="9" t="s">
        <v>77</v>
      </c>
      <c r="G23" s="36">
        <f>G24</f>
        <v>0.52</v>
      </c>
      <c r="H23" s="36">
        <f t="shared" ref="H23:J24" si="8">H24</f>
        <v>10</v>
      </c>
      <c r="I23" s="36">
        <f t="shared" si="8"/>
        <v>10</v>
      </c>
      <c r="J23" s="36">
        <f t="shared" si="8"/>
        <v>2.96</v>
      </c>
      <c r="K23" s="36">
        <f t="shared" si="1"/>
        <v>569.23076923076917</v>
      </c>
      <c r="L23" s="36">
        <f t="shared" si="2"/>
        <v>29.599999999999998</v>
      </c>
    </row>
    <row r="24" spans="1:12" x14ac:dyDescent="0.25">
      <c r="A24" s="28"/>
      <c r="B24" s="9"/>
      <c r="C24" s="38"/>
      <c r="D24" s="9" t="s">
        <v>78</v>
      </c>
      <c r="E24" s="9"/>
      <c r="F24" s="9" t="s">
        <v>79</v>
      </c>
      <c r="G24" s="36">
        <f>G25</f>
        <v>0.52</v>
      </c>
      <c r="H24" s="36">
        <f t="shared" si="8"/>
        <v>10</v>
      </c>
      <c r="I24" s="36">
        <f t="shared" si="8"/>
        <v>10</v>
      </c>
      <c r="J24" s="36">
        <f t="shared" si="8"/>
        <v>2.96</v>
      </c>
      <c r="K24" s="36">
        <f t="shared" si="1"/>
        <v>569.23076923076917</v>
      </c>
      <c r="L24" s="36">
        <f t="shared" si="2"/>
        <v>29.599999999999998</v>
      </c>
    </row>
    <row r="25" spans="1:12" x14ac:dyDescent="0.25">
      <c r="A25" s="28"/>
      <c r="B25" s="9"/>
      <c r="C25" s="38"/>
      <c r="D25" s="38"/>
      <c r="E25" s="9" t="s">
        <v>80</v>
      </c>
      <c r="F25" s="9" t="s">
        <v>81</v>
      </c>
      <c r="G25" s="36">
        <v>0.52</v>
      </c>
      <c r="H25" s="36">
        <v>10</v>
      </c>
      <c r="I25" s="36">
        <v>10</v>
      </c>
      <c r="J25" s="39">
        <f>1.09+1.87</f>
        <v>2.96</v>
      </c>
      <c r="K25" s="36">
        <f t="shared" si="1"/>
        <v>569.23076923076917</v>
      </c>
      <c r="L25" s="36">
        <f t="shared" si="2"/>
        <v>29.599999999999998</v>
      </c>
    </row>
    <row r="26" spans="1:12" ht="25.5" x14ac:dyDescent="0.25">
      <c r="A26" s="28"/>
      <c r="B26" s="9"/>
      <c r="C26" s="9">
        <v>65</v>
      </c>
      <c r="D26" s="38"/>
      <c r="E26" s="9"/>
      <c r="F26" s="9" t="s">
        <v>82</v>
      </c>
      <c r="G26" s="36">
        <f>G27</f>
        <v>2188.29</v>
      </c>
      <c r="H26" s="36">
        <f t="shared" ref="H26:J27" si="9">H27</f>
        <v>5000</v>
      </c>
      <c r="I26" s="36">
        <f t="shared" si="9"/>
        <v>5000</v>
      </c>
      <c r="J26" s="36">
        <f t="shared" si="9"/>
        <v>1147</v>
      </c>
      <c r="K26" s="36">
        <f t="shared" si="1"/>
        <v>52.415356282759596</v>
      </c>
      <c r="L26" s="36">
        <f t="shared" si="2"/>
        <v>22.939999999999998</v>
      </c>
    </row>
    <row r="27" spans="1:12" x14ac:dyDescent="0.25">
      <c r="A27" s="28"/>
      <c r="B27" s="9"/>
      <c r="C27" s="38"/>
      <c r="D27" s="9">
        <v>652</v>
      </c>
      <c r="E27" s="9"/>
      <c r="F27" s="9" t="s">
        <v>83</v>
      </c>
      <c r="G27" s="36">
        <f>G28</f>
        <v>2188.29</v>
      </c>
      <c r="H27" s="36">
        <f t="shared" si="9"/>
        <v>5000</v>
      </c>
      <c r="I27" s="36">
        <f t="shared" si="9"/>
        <v>5000</v>
      </c>
      <c r="J27" s="36">
        <f t="shared" si="9"/>
        <v>1147</v>
      </c>
      <c r="K27" s="36">
        <f t="shared" si="1"/>
        <v>52.415356282759596</v>
      </c>
      <c r="L27" s="36">
        <f t="shared" si="2"/>
        <v>22.939999999999998</v>
      </c>
    </row>
    <row r="28" spans="1:12" x14ac:dyDescent="0.25">
      <c r="A28" s="28"/>
      <c r="B28" s="9"/>
      <c r="C28" s="38"/>
      <c r="D28" s="38"/>
      <c r="E28" s="9">
        <v>6526</v>
      </c>
      <c r="F28" s="9" t="s">
        <v>84</v>
      </c>
      <c r="G28" s="36">
        <v>2188.29</v>
      </c>
      <c r="H28" s="36">
        <v>5000</v>
      </c>
      <c r="I28" s="36">
        <v>5000</v>
      </c>
      <c r="J28" s="39">
        <f>539.5+607.5</f>
        <v>1147</v>
      </c>
      <c r="K28" s="36">
        <f t="shared" si="1"/>
        <v>52.415356282759596</v>
      </c>
      <c r="L28" s="36">
        <f t="shared" si="2"/>
        <v>22.939999999999998</v>
      </c>
    </row>
    <row r="29" spans="1:12" ht="25.5" x14ac:dyDescent="0.25">
      <c r="A29" s="28"/>
      <c r="B29" s="9"/>
      <c r="C29" s="9">
        <v>66</v>
      </c>
      <c r="D29" s="38"/>
      <c r="E29" s="9"/>
      <c r="F29" s="9" t="s">
        <v>85</v>
      </c>
      <c r="G29" s="36">
        <f>G30</f>
        <v>22197.899999999998</v>
      </c>
      <c r="H29" s="36">
        <f>H30</f>
        <v>39990</v>
      </c>
      <c r="I29" s="36">
        <f>I30</f>
        <v>39990</v>
      </c>
      <c r="J29" s="36">
        <f>J30</f>
        <v>25209.47</v>
      </c>
      <c r="K29" s="36">
        <f t="shared" si="1"/>
        <v>113.56691398735919</v>
      </c>
      <c r="L29" s="36">
        <f t="shared" si="2"/>
        <v>63.039434858714685</v>
      </c>
    </row>
    <row r="30" spans="1:12" x14ac:dyDescent="0.25">
      <c r="A30" s="28"/>
      <c r="B30" s="9"/>
      <c r="C30" s="38"/>
      <c r="D30" s="9" t="s">
        <v>86</v>
      </c>
      <c r="E30" s="9"/>
      <c r="F30" s="9" t="s">
        <v>26</v>
      </c>
      <c r="G30" s="36">
        <f>G31+G32</f>
        <v>22197.899999999998</v>
      </c>
      <c r="H30" s="36">
        <f t="shared" ref="H30:J30" si="10">H31+H32</f>
        <v>39990</v>
      </c>
      <c r="I30" s="36">
        <f t="shared" si="10"/>
        <v>39990</v>
      </c>
      <c r="J30" s="36">
        <f t="shared" si="10"/>
        <v>25209.47</v>
      </c>
      <c r="K30" s="36">
        <f t="shared" si="1"/>
        <v>113.56691398735919</v>
      </c>
      <c r="L30" s="36">
        <f t="shared" si="2"/>
        <v>63.039434858714685</v>
      </c>
    </row>
    <row r="31" spans="1:12" x14ac:dyDescent="0.25">
      <c r="A31" s="28"/>
      <c r="B31" s="9"/>
      <c r="C31" s="38"/>
      <c r="D31" s="38"/>
      <c r="E31" s="9" t="s">
        <v>87</v>
      </c>
      <c r="F31" s="9" t="s">
        <v>27</v>
      </c>
      <c r="G31" s="36">
        <v>1112.96</v>
      </c>
      <c r="H31" s="36">
        <v>4990</v>
      </c>
      <c r="I31" s="36">
        <v>4990</v>
      </c>
      <c r="J31" s="39">
        <f>712.71+1824</f>
        <v>2536.71</v>
      </c>
      <c r="K31" s="36">
        <f t="shared" si="1"/>
        <v>227.92463341000575</v>
      </c>
      <c r="L31" s="36">
        <f t="shared" si="2"/>
        <v>50.835871743486969</v>
      </c>
    </row>
    <row r="32" spans="1:12" x14ac:dyDescent="0.25">
      <c r="A32" s="28"/>
      <c r="B32" s="9"/>
      <c r="C32" s="38"/>
      <c r="D32" s="38"/>
      <c r="E32" s="9" t="s">
        <v>88</v>
      </c>
      <c r="F32" s="9" t="s">
        <v>89</v>
      </c>
      <c r="G32" s="36">
        <v>21084.94</v>
      </c>
      <c r="H32" s="36">
        <v>35000</v>
      </c>
      <c r="I32" s="36">
        <v>35000</v>
      </c>
      <c r="J32" s="39">
        <f>21212.22+1460.54</f>
        <v>22672.760000000002</v>
      </c>
      <c r="K32" s="36">
        <f t="shared" si="1"/>
        <v>107.53058818284522</v>
      </c>
      <c r="L32" s="36">
        <f t="shared" si="2"/>
        <v>64.779314285714293</v>
      </c>
    </row>
    <row r="33" spans="1:13" x14ac:dyDescent="0.25">
      <c r="A33" s="28"/>
      <c r="B33" s="9"/>
      <c r="C33" s="38"/>
      <c r="D33" s="93">
        <v>663</v>
      </c>
      <c r="E33" s="9"/>
      <c r="F33" s="9" t="s">
        <v>274</v>
      </c>
      <c r="G33" s="36">
        <f>+G34</f>
        <v>0</v>
      </c>
      <c r="H33" s="36">
        <f t="shared" ref="H33:K33" si="11">+H34</f>
        <v>0</v>
      </c>
      <c r="I33" s="36">
        <f t="shared" si="11"/>
        <v>0</v>
      </c>
      <c r="J33" s="36">
        <f>+J34</f>
        <v>52567</v>
      </c>
      <c r="K33" s="36">
        <f t="shared" si="11"/>
        <v>0</v>
      </c>
      <c r="L33" s="36" t="e">
        <f t="shared" si="2"/>
        <v>#DIV/0!</v>
      </c>
    </row>
    <row r="34" spans="1:13" x14ac:dyDescent="0.25">
      <c r="A34" s="28"/>
      <c r="B34" s="9"/>
      <c r="C34" s="38"/>
      <c r="D34" s="38"/>
      <c r="E34" s="9">
        <v>6631</v>
      </c>
      <c r="F34" s="9" t="s">
        <v>275</v>
      </c>
      <c r="G34" s="36">
        <v>0</v>
      </c>
      <c r="H34" s="36">
        <v>0</v>
      </c>
      <c r="I34" s="36">
        <v>0</v>
      </c>
      <c r="J34" s="39">
        <v>52567</v>
      </c>
      <c r="K34" s="36"/>
      <c r="L34" s="36" t="e">
        <f t="shared" si="2"/>
        <v>#DIV/0!</v>
      </c>
    </row>
    <row r="35" spans="1:13" x14ac:dyDescent="0.25">
      <c r="A35" s="28"/>
      <c r="B35" s="9"/>
      <c r="C35" s="93">
        <v>67</v>
      </c>
      <c r="D35" s="38"/>
      <c r="E35" s="9"/>
      <c r="F35" s="9" t="s">
        <v>262</v>
      </c>
      <c r="G35" s="36">
        <f>+G36</f>
        <v>165369.84</v>
      </c>
      <c r="H35" s="36">
        <f t="shared" ref="H35:J35" si="12">+H36</f>
        <v>517745</v>
      </c>
      <c r="I35" s="36">
        <f t="shared" si="12"/>
        <v>517745</v>
      </c>
      <c r="J35" s="36">
        <f t="shared" si="12"/>
        <v>254442.26</v>
      </c>
      <c r="K35" s="36">
        <f t="shared" si="1"/>
        <v>153.86255438113747</v>
      </c>
      <c r="L35" s="36">
        <f t="shared" si="2"/>
        <v>49.144320080348436</v>
      </c>
    </row>
    <row r="36" spans="1:13" ht="25.5" x14ac:dyDescent="0.25">
      <c r="A36" s="28"/>
      <c r="B36" s="9"/>
      <c r="C36" s="38"/>
      <c r="D36" s="9" t="s">
        <v>90</v>
      </c>
      <c r="E36" s="9"/>
      <c r="F36" s="9" t="s">
        <v>91</v>
      </c>
      <c r="G36" s="36">
        <f>G37</f>
        <v>165369.84</v>
      </c>
      <c r="H36" s="36">
        <f>H37</f>
        <v>517745</v>
      </c>
      <c r="I36" s="36">
        <f>I37</f>
        <v>517745</v>
      </c>
      <c r="J36" s="36">
        <f>J37</f>
        <v>254442.26</v>
      </c>
      <c r="K36" s="36">
        <f t="shared" si="1"/>
        <v>153.86255438113747</v>
      </c>
      <c r="L36" s="36">
        <f t="shared" si="2"/>
        <v>49.144320080348436</v>
      </c>
    </row>
    <row r="37" spans="1:13" x14ac:dyDescent="0.25">
      <c r="A37" s="28"/>
      <c r="B37" s="9"/>
      <c r="C37" s="38"/>
      <c r="D37" s="38"/>
      <c r="E37" s="9" t="s">
        <v>92</v>
      </c>
      <c r="F37" s="9" t="s">
        <v>93</v>
      </c>
      <c r="G37" s="36">
        <v>165369.84</v>
      </c>
      <c r="H37" s="36">
        <v>517745</v>
      </c>
      <c r="I37" s="36">
        <v>517745</v>
      </c>
      <c r="J37" s="39">
        <f>214870.45+39571.81</f>
        <v>254442.26</v>
      </c>
      <c r="K37" s="36">
        <f t="shared" si="1"/>
        <v>153.86255438113747</v>
      </c>
      <c r="L37" s="36">
        <f t="shared" si="2"/>
        <v>49.144320080348436</v>
      </c>
    </row>
    <row r="38" spans="1:13" x14ac:dyDescent="0.25">
      <c r="A38" s="28"/>
      <c r="B38" s="9"/>
      <c r="C38" s="9" t="s">
        <v>94</v>
      </c>
      <c r="D38" s="38"/>
      <c r="E38" s="9"/>
      <c r="F38" s="9" t="s">
        <v>95</v>
      </c>
      <c r="G38" s="36">
        <f>G39</f>
        <v>671.46</v>
      </c>
      <c r="H38" s="36">
        <f t="shared" ref="H38:J39" si="13">H39</f>
        <v>4060</v>
      </c>
      <c r="I38" s="36">
        <f t="shared" si="13"/>
        <v>4060</v>
      </c>
      <c r="J38" s="36">
        <f t="shared" si="13"/>
        <v>400.65</v>
      </c>
      <c r="K38" s="36">
        <f t="shared" si="1"/>
        <v>59.668483602895172</v>
      </c>
      <c r="L38" s="36">
        <f t="shared" si="2"/>
        <v>9.8682266009852206</v>
      </c>
    </row>
    <row r="39" spans="1:13" x14ac:dyDescent="0.25">
      <c r="A39" s="28"/>
      <c r="B39" s="9"/>
      <c r="C39" s="38"/>
      <c r="D39" s="9" t="s">
        <v>96</v>
      </c>
      <c r="E39" s="9"/>
      <c r="F39" s="9" t="s">
        <v>97</v>
      </c>
      <c r="G39" s="36">
        <f>G40</f>
        <v>671.46</v>
      </c>
      <c r="H39" s="36">
        <f t="shared" si="13"/>
        <v>4060</v>
      </c>
      <c r="I39" s="36">
        <f t="shared" si="13"/>
        <v>4060</v>
      </c>
      <c r="J39" s="36">
        <f t="shared" si="13"/>
        <v>400.65</v>
      </c>
      <c r="K39" s="36">
        <f t="shared" si="1"/>
        <v>59.668483602895172</v>
      </c>
      <c r="L39" s="36">
        <f t="shared" si="2"/>
        <v>9.8682266009852206</v>
      </c>
    </row>
    <row r="40" spans="1:13" x14ac:dyDescent="0.25">
      <c r="A40" s="28"/>
      <c r="B40" s="9"/>
      <c r="C40" s="38"/>
      <c r="D40" s="38"/>
      <c r="E40" s="9" t="s">
        <v>98</v>
      </c>
      <c r="F40" s="9" t="s">
        <v>97</v>
      </c>
      <c r="G40" s="36">
        <v>671.46</v>
      </c>
      <c r="H40" s="36">
        <v>4060</v>
      </c>
      <c r="I40" s="36">
        <v>4060</v>
      </c>
      <c r="J40" s="39">
        <v>400.65</v>
      </c>
      <c r="K40" s="36">
        <f t="shared" si="1"/>
        <v>59.668483602895172</v>
      </c>
      <c r="L40" s="36">
        <f t="shared" si="2"/>
        <v>9.8682266009852206</v>
      </c>
    </row>
    <row r="41" spans="1:13" x14ac:dyDescent="0.25">
      <c r="A41" s="28"/>
      <c r="B41" s="28"/>
      <c r="C41" s="28"/>
      <c r="D41" s="28"/>
      <c r="E41" s="9"/>
      <c r="F41" s="9" t="s">
        <v>276</v>
      </c>
      <c r="G41" s="36">
        <f>+G42</f>
        <v>0</v>
      </c>
      <c r="H41" s="36">
        <f>+H42</f>
        <v>0</v>
      </c>
      <c r="I41" s="36">
        <f>+I42</f>
        <v>0</v>
      </c>
      <c r="J41" s="39">
        <f>+J42</f>
        <v>800</v>
      </c>
      <c r="K41" s="36" t="e">
        <f t="shared" ref="K41:K42" si="14">J41/G41*100</f>
        <v>#DIV/0!</v>
      </c>
      <c r="L41" s="36" t="e">
        <f t="shared" ref="L41:L42" si="15">J41/I41*100</f>
        <v>#DIV/0!</v>
      </c>
    </row>
    <row r="42" spans="1:13" ht="18" x14ac:dyDescent="0.25">
      <c r="A42" s="28"/>
      <c r="B42" s="3"/>
      <c r="C42" s="3"/>
      <c r="D42" s="3"/>
      <c r="E42" s="9">
        <v>7231</v>
      </c>
      <c r="F42" s="9" t="s">
        <v>101</v>
      </c>
      <c r="G42" s="36">
        <v>0</v>
      </c>
      <c r="H42" s="36">
        <v>0</v>
      </c>
      <c r="I42" s="36">
        <v>0</v>
      </c>
      <c r="J42" s="39">
        <v>800</v>
      </c>
      <c r="K42" s="36" t="e">
        <f t="shared" si="14"/>
        <v>#DIV/0!</v>
      </c>
      <c r="L42" s="36" t="e">
        <f t="shared" si="15"/>
        <v>#DIV/0!</v>
      </c>
    </row>
    <row r="43" spans="1:13" ht="36.75" customHeight="1" x14ac:dyDescent="0.25">
      <c r="B43" s="136" t="s">
        <v>6</v>
      </c>
      <c r="C43" s="137"/>
      <c r="D43" s="137"/>
      <c r="E43" s="137"/>
      <c r="F43" s="138"/>
      <c r="G43" s="20" t="s">
        <v>18</v>
      </c>
      <c r="H43" s="20" t="s">
        <v>267</v>
      </c>
      <c r="I43" s="20" t="s">
        <v>268</v>
      </c>
      <c r="J43" s="20" t="s">
        <v>272</v>
      </c>
      <c r="K43" s="20" t="s">
        <v>19</v>
      </c>
      <c r="L43" s="20" t="s">
        <v>45</v>
      </c>
    </row>
    <row r="44" spans="1:13" x14ac:dyDescent="0.25">
      <c r="B44" s="133">
        <v>1</v>
      </c>
      <c r="C44" s="134"/>
      <c r="D44" s="134"/>
      <c r="E44" s="134"/>
      <c r="F44" s="135"/>
      <c r="G44" s="21">
        <v>2</v>
      </c>
      <c r="H44" s="21">
        <v>3</v>
      </c>
      <c r="I44" s="21">
        <v>4</v>
      </c>
      <c r="J44" s="21">
        <v>5</v>
      </c>
      <c r="K44" s="21" t="s">
        <v>32</v>
      </c>
      <c r="L44" s="21" t="s">
        <v>33</v>
      </c>
    </row>
    <row r="45" spans="1:13" x14ac:dyDescent="0.25">
      <c r="B45" s="63"/>
      <c r="C45" s="63"/>
      <c r="D45" s="63"/>
      <c r="E45" s="63"/>
      <c r="F45" s="56" t="s">
        <v>43</v>
      </c>
      <c r="G45" s="53">
        <f>G46+G90</f>
        <v>187769.05000000002</v>
      </c>
      <c r="H45" s="53">
        <f>H46+H90</f>
        <v>750033</v>
      </c>
      <c r="I45" s="53">
        <f>I46+I90</f>
        <v>750033</v>
      </c>
      <c r="J45" s="53">
        <f>J46+J90</f>
        <v>292094.11</v>
      </c>
      <c r="K45" s="66">
        <f>J45/G45*100</f>
        <v>155.56030666395765</v>
      </c>
      <c r="L45" s="66">
        <f>J45/I45*100</f>
        <v>38.944167789950576</v>
      </c>
      <c r="M45" s="106"/>
    </row>
    <row r="46" spans="1:13" x14ac:dyDescent="0.25">
      <c r="B46" s="65">
        <v>3</v>
      </c>
      <c r="C46" s="65"/>
      <c r="D46" s="38"/>
      <c r="E46" s="38"/>
      <c r="F46" s="64" t="s">
        <v>3</v>
      </c>
      <c r="G46" s="54">
        <f>G47+G54+G84+G87</f>
        <v>187769.05000000002</v>
      </c>
      <c r="H46" s="54">
        <f>H47+H54+H84+H87</f>
        <v>746033</v>
      </c>
      <c r="I46" s="54">
        <f>I47+I54+I84+I87</f>
        <v>746033</v>
      </c>
      <c r="J46" s="54">
        <f>J47+J54+J84+J87</f>
        <v>287875.11</v>
      </c>
      <c r="K46" s="57">
        <f t="shared" ref="K46:K105" si="16">J46/G46*100</f>
        <v>153.31339749548712</v>
      </c>
      <c r="L46" s="57">
        <f t="shared" ref="L46:L105" si="17">J46/I46*100</f>
        <v>38.587449884924659</v>
      </c>
      <c r="M46" s="106"/>
    </row>
    <row r="47" spans="1:13" x14ac:dyDescent="0.25">
      <c r="B47" s="58"/>
      <c r="C47" s="59">
        <v>31</v>
      </c>
      <c r="D47" s="38"/>
      <c r="E47" s="38"/>
      <c r="F47" s="64" t="s">
        <v>4</v>
      </c>
      <c r="G47" s="54">
        <f>G48+G50+G52</f>
        <v>124396.53000000001</v>
      </c>
      <c r="H47" s="54">
        <f>H48+H50+H52</f>
        <v>370745</v>
      </c>
      <c r="I47" s="54">
        <f t="shared" ref="I47" si="18">I48+I50+I52</f>
        <v>370745</v>
      </c>
      <c r="J47" s="54">
        <f>J48+J50+J52</f>
        <v>202746</v>
      </c>
      <c r="K47" s="57">
        <f t="shared" si="16"/>
        <v>162.98364592645791</v>
      </c>
      <c r="L47" s="57">
        <f t="shared" si="17"/>
        <v>54.686105004787656</v>
      </c>
    </row>
    <row r="48" spans="1:13" x14ac:dyDescent="0.25">
      <c r="B48" s="58"/>
      <c r="C48" s="38"/>
      <c r="D48" s="59">
        <v>311</v>
      </c>
      <c r="E48" s="63"/>
      <c r="F48" s="58" t="s">
        <v>28</v>
      </c>
      <c r="G48" s="49">
        <f>G49</f>
        <v>103783.38</v>
      </c>
      <c r="H48" s="49">
        <f t="shared" ref="H48:J48" si="19">H49</f>
        <v>307745</v>
      </c>
      <c r="I48" s="49">
        <f t="shared" si="19"/>
        <v>307745</v>
      </c>
      <c r="J48" s="49">
        <f t="shared" si="19"/>
        <v>160391.72</v>
      </c>
      <c r="K48" s="57">
        <f t="shared" si="16"/>
        <v>154.54470648383199</v>
      </c>
      <c r="L48" s="57">
        <f t="shared" si="17"/>
        <v>52.118383726786789</v>
      </c>
    </row>
    <row r="49" spans="2:13" x14ac:dyDescent="0.25">
      <c r="B49" s="58"/>
      <c r="C49" s="38"/>
      <c r="D49" s="38"/>
      <c r="E49" s="59">
        <v>3111</v>
      </c>
      <c r="F49" s="58" t="s">
        <v>29</v>
      </c>
      <c r="G49" s="49">
        <v>103783.38</v>
      </c>
      <c r="H49" s="49">
        <f>282745+25000</f>
        <v>307745</v>
      </c>
      <c r="I49" s="49">
        <f>282745+25000</f>
        <v>307745</v>
      </c>
      <c r="J49" s="49">
        <f>115047.57+12288.3+29719.01+3336.84</f>
        <v>160391.72</v>
      </c>
      <c r="K49" s="57">
        <f t="shared" si="16"/>
        <v>154.54470648383199</v>
      </c>
      <c r="L49" s="57">
        <f t="shared" si="17"/>
        <v>52.118383726786789</v>
      </c>
    </row>
    <row r="50" spans="2:13" x14ac:dyDescent="0.25">
      <c r="B50" s="58"/>
      <c r="C50" s="38"/>
      <c r="D50" s="59" t="s">
        <v>155</v>
      </c>
      <c r="E50" s="63"/>
      <c r="F50" s="58" t="s">
        <v>156</v>
      </c>
      <c r="G50" s="49">
        <f>G51</f>
        <v>3488.85</v>
      </c>
      <c r="H50" s="49">
        <f t="shared" ref="H50:J50" si="20">H51</f>
        <v>14000</v>
      </c>
      <c r="I50" s="49">
        <f t="shared" si="20"/>
        <v>14000</v>
      </c>
      <c r="J50" s="49">
        <f t="shared" si="20"/>
        <v>15889.68</v>
      </c>
      <c r="K50" s="57">
        <f t="shared" si="16"/>
        <v>455.44176447826652</v>
      </c>
      <c r="L50" s="57">
        <f t="shared" si="17"/>
        <v>113.4977142857143</v>
      </c>
    </row>
    <row r="51" spans="2:13" x14ac:dyDescent="0.25">
      <c r="B51" s="58"/>
      <c r="C51" s="38"/>
      <c r="D51" s="38"/>
      <c r="E51" s="59" t="s">
        <v>157</v>
      </c>
      <c r="F51" s="58" t="s">
        <v>156</v>
      </c>
      <c r="G51" s="49">
        <v>3488.85</v>
      </c>
      <c r="H51" s="49">
        <f>12000+2000</f>
        <v>14000</v>
      </c>
      <c r="I51" s="49">
        <f>12000+2000</f>
        <v>14000</v>
      </c>
      <c r="J51" s="49">
        <f>2549.3+300+3600+9440.38</f>
        <v>15889.68</v>
      </c>
      <c r="K51" s="57">
        <f t="shared" si="16"/>
        <v>455.44176447826652</v>
      </c>
      <c r="L51" s="57">
        <f t="shared" si="17"/>
        <v>113.4977142857143</v>
      </c>
      <c r="M51" s="106"/>
    </row>
    <row r="52" spans="2:13" x14ac:dyDescent="0.25">
      <c r="B52" s="58"/>
      <c r="C52" s="38"/>
      <c r="D52" s="59">
        <v>313</v>
      </c>
      <c r="E52" s="63"/>
      <c r="F52" s="58" t="s">
        <v>158</v>
      </c>
      <c r="G52" s="60">
        <f>G53</f>
        <v>17124.3</v>
      </c>
      <c r="H52" s="60">
        <f t="shared" ref="H52:J52" si="21">H53</f>
        <v>49000</v>
      </c>
      <c r="I52" s="60">
        <f t="shared" si="21"/>
        <v>49000</v>
      </c>
      <c r="J52" s="60">
        <f t="shared" si="21"/>
        <v>26464.6</v>
      </c>
      <c r="K52" s="57">
        <f t="shared" si="16"/>
        <v>154.54412735119098</v>
      </c>
      <c r="L52" s="57">
        <f t="shared" si="17"/>
        <v>54.009387755102033</v>
      </c>
    </row>
    <row r="53" spans="2:13" x14ac:dyDescent="0.25">
      <c r="B53" s="58"/>
      <c r="C53" s="38"/>
      <c r="D53" s="38"/>
      <c r="E53" s="59">
        <v>3132</v>
      </c>
      <c r="F53" s="58" t="s">
        <v>159</v>
      </c>
      <c r="G53" s="60">
        <v>17124.3</v>
      </c>
      <c r="H53" s="60">
        <f>45000+4000</f>
        <v>49000</v>
      </c>
      <c r="I53" s="60">
        <f>45000+4000</f>
        <v>49000</v>
      </c>
      <c r="J53" s="60">
        <f>18982.8+2027.58+4903.63+550.59</f>
        <v>26464.6</v>
      </c>
      <c r="K53" s="57">
        <f t="shared" si="16"/>
        <v>154.54412735119098</v>
      </c>
      <c r="L53" s="57">
        <f t="shared" si="17"/>
        <v>54.009387755102033</v>
      </c>
    </row>
    <row r="54" spans="2:13" x14ac:dyDescent="0.25">
      <c r="B54" s="58"/>
      <c r="C54" s="59">
        <v>32</v>
      </c>
      <c r="D54" s="38"/>
      <c r="E54" s="63"/>
      <c r="F54" s="64" t="s">
        <v>11</v>
      </c>
      <c r="G54" s="49">
        <f>G55+G59+G66+G76+G78</f>
        <v>62310.520000000004</v>
      </c>
      <c r="H54" s="49">
        <f t="shared" ref="H54:J54" si="22">H55+H59+H66+H76+H78</f>
        <v>373288</v>
      </c>
      <c r="I54" s="49">
        <f t="shared" si="22"/>
        <v>373288</v>
      </c>
      <c r="J54" s="49">
        <f t="shared" si="22"/>
        <v>84127.680000000008</v>
      </c>
      <c r="K54" s="57">
        <f t="shared" si="16"/>
        <v>135.01360604918719</v>
      </c>
      <c r="L54" s="57">
        <f t="shared" si="17"/>
        <v>22.53693662801912</v>
      </c>
    </row>
    <row r="55" spans="2:13" x14ac:dyDescent="0.25">
      <c r="B55" s="58"/>
      <c r="C55" s="38"/>
      <c r="D55" s="59">
        <v>321</v>
      </c>
      <c r="E55" s="63"/>
      <c r="F55" s="58" t="s">
        <v>30</v>
      </c>
      <c r="G55" s="49">
        <f>G56+G57+G58</f>
        <v>6629.51</v>
      </c>
      <c r="H55" s="49">
        <f>H56+H57+H58</f>
        <v>39000</v>
      </c>
      <c r="I55" s="49">
        <f>I56+I57+I58</f>
        <v>39000</v>
      </c>
      <c r="J55" s="49">
        <f>J56+J57+J58</f>
        <v>10139.950000000001</v>
      </c>
      <c r="K55" s="57">
        <f t="shared" si="16"/>
        <v>152.95172644735433</v>
      </c>
      <c r="L55" s="57">
        <f t="shared" si="17"/>
        <v>25.999871794871797</v>
      </c>
    </row>
    <row r="56" spans="2:13" x14ac:dyDescent="0.25">
      <c r="B56" s="58"/>
      <c r="C56" s="38"/>
      <c r="D56" s="38"/>
      <c r="E56" s="59" t="s">
        <v>160</v>
      </c>
      <c r="F56" s="58" t="s">
        <v>31</v>
      </c>
      <c r="G56" s="49">
        <v>664</v>
      </c>
      <c r="H56" s="49">
        <v>3000</v>
      </c>
      <c r="I56" s="49">
        <v>3000</v>
      </c>
      <c r="J56" s="49">
        <v>1500</v>
      </c>
      <c r="K56" s="57">
        <f t="shared" si="16"/>
        <v>225.90361445783134</v>
      </c>
      <c r="L56" s="57">
        <f t="shared" si="17"/>
        <v>50</v>
      </c>
    </row>
    <row r="57" spans="2:13" x14ac:dyDescent="0.25">
      <c r="B57" s="58"/>
      <c r="C57" s="38"/>
      <c r="D57" s="38"/>
      <c r="E57" s="59" t="s">
        <v>161</v>
      </c>
      <c r="F57" s="61" t="s">
        <v>162</v>
      </c>
      <c r="G57" s="49">
        <v>5700.51</v>
      </c>
      <c r="H57" s="49">
        <v>35000</v>
      </c>
      <c r="I57" s="49">
        <v>35000</v>
      </c>
      <c r="J57" s="49">
        <f>6790.78+1349.17</f>
        <v>8139.95</v>
      </c>
      <c r="K57" s="57">
        <f t="shared" si="16"/>
        <v>142.79336410251011</v>
      </c>
      <c r="L57" s="57">
        <f t="shared" si="17"/>
        <v>23.257000000000001</v>
      </c>
    </row>
    <row r="58" spans="2:13" x14ac:dyDescent="0.25">
      <c r="B58" s="58"/>
      <c r="C58" s="38"/>
      <c r="D58" s="38"/>
      <c r="E58" s="59" t="s">
        <v>163</v>
      </c>
      <c r="F58" s="61" t="s">
        <v>164</v>
      </c>
      <c r="G58" s="49">
        <v>265</v>
      </c>
      <c r="H58" s="49">
        <v>1000</v>
      </c>
      <c r="I58" s="49">
        <v>1000</v>
      </c>
      <c r="J58" s="49">
        <v>500</v>
      </c>
      <c r="K58" s="57">
        <f t="shared" si="16"/>
        <v>188.67924528301887</v>
      </c>
      <c r="L58" s="57">
        <f t="shared" si="17"/>
        <v>50</v>
      </c>
    </row>
    <row r="59" spans="2:13" x14ac:dyDescent="0.25">
      <c r="B59" s="58"/>
      <c r="C59" s="38"/>
      <c r="D59" s="59">
        <v>322</v>
      </c>
      <c r="E59" s="63"/>
      <c r="F59" s="58" t="s">
        <v>165</v>
      </c>
      <c r="G59" s="62">
        <f>G60+G61+G62+G63+G64+G65</f>
        <v>18293</v>
      </c>
      <c r="H59" s="62">
        <f t="shared" ref="H59:J59" si="23">H60+H61+H62+H63+H64+H65</f>
        <v>66922</v>
      </c>
      <c r="I59" s="62">
        <f t="shared" si="23"/>
        <v>66922</v>
      </c>
      <c r="J59" s="62">
        <f t="shared" si="23"/>
        <v>31137.730000000003</v>
      </c>
      <c r="K59" s="57">
        <f t="shared" si="16"/>
        <v>170.21664024490244</v>
      </c>
      <c r="L59" s="57">
        <f t="shared" si="17"/>
        <v>46.528391261468585</v>
      </c>
    </row>
    <row r="60" spans="2:13" x14ac:dyDescent="0.25">
      <c r="B60" s="58"/>
      <c r="C60" s="38"/>
      <c r="D60" s="38"/>
      <c r="E60" s="59" t="s">
        <v>166</v>
      </c>
      <c r="F60" s="58" t="s">
        <v>167</v>
      </c>
      <c r="G60" s="62">
        <v>6347</v>
      </c>
      <c r="H60" s="62">
        <f>4300+1000+4622</f>
        <v>9922</v>
      </c>
      <c r="I60" s="62">
        <f>4300+1000+4622</f>
        <v>9922</v>
      </c>
      <c r="J60" s="62">
        <f>2150+5087.08</f>
        <v>7237.08</v>
      </c>
      <c r="K60" s="57">
        <f t="shared" si="16"/>
        <v>114.02363321254137</v>
      </c>
      <c r="L60" s="57">
        <f t="shared" si="17"/>
        <v>72.9397298931667</v>
      </c>
    </row>
    <row r="61" spans="2:13" x14ac:dyDescent="0.25">
      <c r="B61" s="58"/>
      <c r="C61" s="38"/>
      <c r="D61" s="38"/>
      <c r="E61" s="59" t="s">
        <v>168</v>
      </c>
      <c r="F61" s="58" t="s">
        <v>169</v>
      </c>
      <c r="G61" s="62">
        <v>0</v>
      </c>
      <c r="H61" s="62">
        <v>0</v>
      </c>
      <c r="I61" s="62">
        <v>0</v>
      </c>
      <c r="J61" s="62">
        <v>0</v>
      </c>
      <c r="K61" s="57" t="e">
        <f t="shared" si="16"/>
        <v>#DIV/0!</v>
      </c>
      <c r="L61" s="57" t="e">
        <f t="shared" si="17"/>
        <v>#DIV/0!</v>
      </c>
    </row>
    <row r="62" spans="2:13" x14ac:dyDescent="0.25">
      <c r="B62" s="58"/>
      <c r="C62" s="38"/>
      <c r="D62" s="38"/>
      <c r="E62" s="59" t="s">
        <v>170</v>
      </c>
      <c r="F62" s="58" t="s">
        <v>171</v>
      </c>
      <c r="G62" s="62">
        <v>9291</v>
      </c>
      <c r="H62" s="62">
        <v>34000</v>
      </c>
      <c r="I62" s="62">
        <v>34000</v>
      </c>
      <c r="J62" s="62">
        <v>17000</v>
      </c>
      <c r="K62" s="57">
        <f t="shared" si="16"/>
        <v>182.9727693466796</v>
      </c>
      <c r="L62" s="57">
        <f t="shared" si="17"/>
        <v>50</v>
      </c>
    </row>
    <row r="63" spans="2:13" x14ac:dyDescent="0.25">
      <c r="B63" s="58"/>
      <c r="C63" s="38"/>
      <c r="D63" s="38"/>
      <c r="E63" s="59" t="s">
        <v>172</v>
      </c>
      <c r="F63" s="61" t="s">
        <v>173</v>
      </c>
      <c r="G63" s="62">
        <v>1327</v>
      </c>
      <c r="H63" s="62">
        <v>5000</v>
      </c>
      <c r="I63" s="62">
        <v>5000</v>
      </c>
      <c r="J63" s="62">
        <v>2500</v>
      </c>
      <c r="K63" s="57">
        <f t="shared" si="16"/>
        <v>188.39487565938208</v>
      </c>
      <c r="L63" s="57">
        <f t="shared" si="17"/>
        <v>50</v>
      </c>
    </row>
    <row r="64" spans="2:13" x14ac:dyDescent="0.25">
      <c r="B64" s="58"/>
      <c r="C64" s="38"/>
      <c r="D64" s="38"/>
      <c r="E64" s="59" t="s">
        <v>174</v>
      </c>
      <c r="F64" s="61" t="s">
        <v>175</v>
      </c>
      <c r="G64" s="62">
        <v>664</v>
      </c>
      <c r="H64" s="62">
        <f>5000+10000</f>
        <v>15000</v>
      </c>
      <c r="I64" s="62">
        <f>5000+10000</f>
        <v>15000</v>
      </c>
      <c r="J64" s="62">
        <f>2500+400.65</f>
        <v>2900.65</v>
      </c>
      <c r="K64" s="57">
        <f t="shared" si="16"/>
        <v>436.84487951807228</v>
      </c>
      <c r="L64" s="57">
        <f t="shared" si="17"/>
        <v>19.337666666666667</v>
      </c>
    </row>
    <row r="65" spans="2:12" x14ac:dyDescent="0.25">
      <c r="B65" s="58"/>
      <c r="C65" s="38"/>
      <c r="D65" s="38"/>
      <c r="E65" s="59" t="s">
        <v>176</v>
      </c>
      <c r="F65" s="61" t="s">
        <v>177</v>
      </c>
      <c r="G65" s="62">
        <v>664</v>
      </c>
      <c r="H65" s="62">
        <v>3000</v>
      </c>
      <c r="I65" s="62">
        <v>3000</v>
      </c>
      <c r="J65" s="62">
        <v>1500</v>
      </c>
      <c r="K65" s="57">
        <f t="shared" si="16"/>
        <v>225.90361445783134</v>
      </c>
      <c r="L65" s="57">
        <f t="shared" si="17"/>
        <v>50</v>
      </c>
    </row>
    <row r="66" spans="2:12" x14ac:dyDescent="0.25">
      <c r="B66" s="58"/>
      <c r="C66" s="38"/>
      <c r="D66" s="59">
        <v>323</v>
      </c>
      <c r="E66" s="63"/>
      <c r="F66" s="58" t="s">
        <v>178</v>
      </c>
      <c r="G66" s="62">
        <f>G67+G68+G69+G70+G71+G72+G73+G74+G75</f>
        <v>27169.01</v>
      </c>
      <c r="H66" s="62">
        <f t="shared" ref="H66:I66" si="24">H67+H68+H69+H70+H71+H72+H73+H74+H75</f>
        <v>248666</v>
      </c>
      <c r="I66" s="62">
        <f t="shared" si="24"/>
        <v>248666</v>
      </c>
      <c r="J66" s="62">
        <f>J67+J68+J69+J70+J71+J72+J73+J74+J75</f>
        <v>35000</v>
      </c>
      <c r="K66" s="57">
        <f t="shared" si="16"/>
        <v>128.82324383553174</v>
      </c>
      <c r="L66" s="57">
        <f t="shared" si="17"/>
        <v>14.075104758993993</v>
      </c>
    </row>
    <row r="67" spans="2:12" x14ac:dyDescent="0.25">
      <c r="B67" s="58"/>
      <c r="C67" s="38"/>
      <c r="D67" s="38"/>
      <c r="E67" s="59" t="s">
        <v>179</v>
      </c>
      <c r="F67" s="58" t="s">
        <v>180</v>
      </c>
      <c r="G67" s="49">
        <v>3982</v>
      </c>
      <c r="H67" s="49">
        <v>7000</v>
      </c>
      <c r="I67" s="49">
        <v>7000</v>
      </c>
      <c r="J67" s="49">
        <v>3500</v>
      </c>
      <c r="K67" s="57">
        <f t="shared" si="16"/>
        <v>87.895529884480155</v>
      </c>
      <c r="L67" s="57">
        <f t="shared" si="17"/>
        <v>50</v>
      </c>
    </row>
    <row r="68" spans="2:12" x14ac:dyDescent="0.25">
      <c r="B68" s="58"/>
      <c r="C68" s="38"/>
      <c r="D68" s="38"/>
      <c r="E68" s="59" t="s">
        <v>181</v>
      </c>
      <c r="F68" s="58" t="s">
        <v>182</v>
      </c>
      <c r="G68" s="49">
        <v>2654</v>
      </c>
      <c r="H68" s="49">
        <f>36000+2500+130606</f>
        <v>169106</v>
      </c>
      <c r="I68" s="49">
        <f>36000+2500+130606</f>
        <v>169106</v>
      </c>
      <c r="J68" s="49">
        <v>18000</v>
      </c>
      <c r="K68" s="57">
        <f t="shared" si="16"/>
        <v>678.22155237377547</v>
      </c>
      <c r="L68" s="57">
        <f t="shared" si="17"/>
        <v>10.644211323075467</v>
      </c>
    </row>
    <row r="69" spans="2:12" x14ac:dyDescent="0.25">
      <c r="B69" s="58"/>
      <c r="C69" s="38"/>
      <c r="D69" s="38"/>
      <c r="E69" s="59">
        <v>3233</v>
      </c>
      <c r="F69" s="58" t="s">
        <v>183</v>
      </c>
      <c r="G69" s="49">
        <v>7252.55</v>
      </c>
      <c r="H69" s="49">
        <f>5000+5000+10000</f>
        <v>20000</v>
      </c>
      <c r="I69" s="49">
        <f>5000+5000+10000</f>
        <v>20000</v>
      </c>
      <c r="J69" s="49">
        <v>2500</v>
      </c>
      <c r="K69" s="57">
        <f t="shared" si="16"/>
        <v>34.470634466497991</v>
      </c>
      <c r="L69" s="57">
        <f t="shared" si="17"/>
        <v>12.5</v>
      </c>
    </row>
    <row r="70" spans="2:12" x14ac:dyDescent="0.25">
      <c r="B70" s="58"/>
      <c r="C70" s="38"/>
      <c r="D70" s="38"/>
      <c r="E70" s="59" t="s">
        <v>184</v>
      </c>
      <c r="F70" s="58" t="s">
        <v>185</v>
      </c>
      <c r="G70" s="49">
        <v>1327</v>
      </c>
      <c r="H70" s="49">
        <f>2000+20000</f>
        <v>22000</v>
      </c>
      <c r="I70" s="49">
        <f>2000+20000</f>
        <v>22000</v>
      </c>
      <c r="J70" s="49">
        <v>1000</v>
      </c>
      <c r="K70" s="57">
        <f t="shared" si="16"/>
        <v>75.357950263752826</v>
      </c>
      <c r="L70" s="57">
        <f t="shared" si="17"/>
        <v>4.5454545454545459</v>
      </c>
    </row>
    <row r="71" spans="2:12" x14ac:dyDescent="0.25">
      <c r="B71" s="58"/>
      <c r="C71" s="38"/>
      <c r="D71" s="38"/>
      <c r="E71" s="59">
        <v>3235</v>
      </c>
      <c r="F71" s="58" t="s">
        <v>186</v>
      </c>
      <c r="G71" s="49">
        <v>2662.46</v>
      </c>
      <c r="H71" s="49">
        <f>1000+4060</f>
        <v>5060</v>
      </c>
      <c r="I71" s="49">
        <f>1000+4060</f>
        <v>5060</v>
      </c>
      <c r="J71" s="49">
        <v>500</v>
      </c>
      <c r="K71" s="57">
        <f t="shared" si="16"/>
        <v>18.779624858213833</v>
      </c>
      <c r="L71" s="57">
        <f t="shared" si="17"/>
        <v>9.8814229249011856</v>
      </c>
    </row>
    <row r="72" spans="2:12" x14ac:dyDescent="0.25">
      <c r="B72" s="58"/>
      <c r="C72" s="38"/>
      <c r="D72" s="38"/>
      <c r="E72" s="59">
        <v>3236</v>
      </c>
      <c r="F72" s="58" t="s">
        <v>187</v>
      </c>
      <c r="G72" s="49">
        <v>3318</v>
      </c>
      <c r="H72" s="49">
        <v>0</v>
      </c>
      <c r="I72" s="49">
        <v>0</v>
      </c>
      <c r="J72" s="49">
        <v>0</v>
      </c>
      <c r="K72" s="57">
        <f t="shared" si="16"/>
        <v>0</v>
      </c>
      <c r="L72" s="57" t="e">
        <f t="shared" si="17"/>
        <v>#DIV/0!</v>
      </c>
    </row>
    <row r="73" spans="2:12" x14ac:dyDescent="0.25">
      <c r="B73" s="58"/>
      <c r="C73" s="38"/>
      <c r="D73" s="38"/>
      <c r="E73" s="59">
        <v>3237</v>
      </c>
      <c r="F73" s="58" t="s">
        <v>188</v>
      </c>
      <c r="G73" s="49">
        <v>664</v>
      </c>
      <c r="H73" s="49">
        <f>4000+2500+4000</f>
        <v>10500</v>
      </c>
      <c r="I73" s="49">
        <f>4000+2500+4000</f>
        <v>10500</v>
      </c>
      <c r="J73" s="49">
        <v>2000</v>
      </c>
      <c r="K73" s="57">
        <f t="shared" si="16"/>
        <v>301.20481927710847</v>
      </c>
      <c r="L73" s="57">
        <f t="shared" si="17"/>
        <v>19.047619047619047</v>
      </c>
    </row>
    <row r="74" spans="2:12" x14ac:dyDescent="0.25">
      <c r="B74" s="58"/>
      <c r="C74" s="38"/>
      <c r="D74" s="38"/>
      <c r="E74" s="59" t="s">
        <v>189</v>
      </c>
      <c r="F74" s="58" t="s">
        <v>190</v>
      </c>
      <c r="G74" s="49">
        <v>4645</v>
      </c>
      <c r="H74" s="49">
        <v>10000</v>
      </c>
      <c r="I74" s="49">
        <v>10000</v>
      </c>
      <c r="J74" s="49">
        <v>5000</v>
      </c>
      <c r="K74" s="57">
        <f t="shared" si="16"/>
        <v>107.64262648008611</v>
      </c>
      <c r="L74" s="57">
        <f t="shared" si="17"/>
        <v>50</v>
      </c>
    </row>
    <row r="75" spans="2:12" x14ac:dyDescent="0.25">
      <c r="B75" s="58"/>
      <c r="C75" s="38"/>
      <c r="D75" s="38"/>
      <c r="E75" s="59" t="s">
        <v>191</v>
      </c>
      <c r="F75" s="58" t="s">
        <v>192</v>
      </c>
      <c r="G75" s="49">
        <v>664</v>
      </c>
      <c r="H75" s="49">
        <v>5000</v>
      </c>
      <c r="I75" s="49">
        <v>5000</v>
      </c>
      <c r="J75" s="49">
        <v>2500</v>
      </c>
      <c r="K75" s="57">
        <f t="shared" si="16"/>
        <v>376.50602409638554</v>
      </c>
      <c r="L75" s="57">
        <f t="shared" si="17"/>
        <v>50</v>
      </c>
    </row>
    <row r="76" spans="2:12" x14ac:dyDescent="0.25">
      <c r="B76" s="58"/>
      <c r="C76" s="38"/>
      <c r="D76" s="59">
        <v>324</v>
      </c>
      <c r="E76" s="63"/>
      <c r="F76" s="58" t="s">
        <v>208</v>
      </c>
      <c r="G76" s="49">
        <f>G77</f>
        <v>0</v>
      </c>
      <c r="H76" s="49">
        <f t="shared" ref="H76:J76" si="25">H77</f>
        <v>0</v>
      </c>
      <c r="I76" s="49">
        <f t="shared" si="25"/>
        <v>0</v>
      </c>
      <c r="J76" s="49">
        <f t="shared" si="25"/>
        <v>0</v>
      </c>
      <c r="K76" s="57" t="e">
        <f t="shared" si="16"/>
        <v>#DIV/0!</v>
      </c>
      <c r="L76" s="57" t="e">
        <f t="shared" si="17"/>
        <v>#DIV/0!</v>
      </c>
    </row>
    <row r="77" spans="2:12" x14ac:dyDescent="0.25">
      <c r="B77" s="58"/>
      <c r="C77" s="38"/>
      <c r="D77" s="38"/>
      <c r="E77" s="59">
        <v>3241</v>
      </c>
      <c r="F77" s="58" t="s">
        <v>208</v>
      </c>
      <c r="G77" s="49">
        <v>0</v>
      </c>
      <c r="H77" s="49">
        <v>0</v>
      </c>
      <c r="I77" s="49">
        <v>0</v>
      </c>
      <c r="J77" s="49">
        <v>0</v>
      </c>
      <c r="K77" s="57" t="e">
        <f t="shared" si="16"/>
        <v>#DIV/0!</v>
      </c>
      <c r="L77" s="57" t="e">
        <f t="shared" si="17"/>
        <v>#DIV/0!</v>
      </c>
    </row>
    <row r="78" spans="2:12" x14ac:dyDescent="0.25">
      <c r="B78" s="58"/>
      <c r="D78" s="59">
        <v>329</v>
      </c>
      <c r="E78" s="63"/>
      <c r="F78" s="58" t="s">
        <v>193</v>
      </c>
      <c r="G78" s="49">
        <f>G79+G80+G81+G82+G83</f>
        <v>10219</v>
      </c>
      <c r="H78" s="49">
        <f t="shared" ref="H78:J78" si="26">H79+H80+H81+H82+H83</f>
        <v>18700</v>
      </c>
      <c r="I78" s="49">
        <f t="shared" si="26"/>
        <v>18700</v>
      </c>
      <c r="J78" s="49">
        <f t="shared" si="26"/>
        <v>7850</v>
      </c>
      <c r="K78" s="57">
        <f t="shared" si="16"/>
        <v>76.817692533516009</v>
      </c>
      <c r="L78" s="57">
        <f t="shared" si="17"/>
        <v>41.978609625668447</v>
      </c>
    </row>
    <row r="79" spans="2:12" x14ac:dyDescent="0.25">
      <c r="B79" s="58"/>
      <c r="C79" s="38"/>
      <c r="D79" s="38"/>
      <c r="E79" s="59" t="s">
        <v>194</v>
      </c>
      <c r="F79" s="58" t="s">
        <v>195</v>
      </c>
      <c r="G79" s="49">
        <v>2389</v>
      </c>
      <c r="H79" s="49">
        <v>9000</v>
      </c>
      <c r="I79" s="49">
        <v>9000</v>
      </c>
      <c r="J79" s="49">
        <v>4500</v>
      </c>
      <c r="K79" s="57">
        <f t="shared" si="16"/>
        <v>188.36333193804938</v>
      </c>
      <c r="L79" s="57">
        <f t="shared" si="17"/>
        <v>50</v>
      </c>
    </row>
    <row r="80" spans="2:12" x14ac:dyDescent="0.25">
      <c r="B80" s="58"/>
      <c r="C80" s="38"/>
      <c r="D80" s="38"/>
      <c r="E80" s="59">
        <v>3292</v>
      </c>
      <c r="F80" s="58" t="s">
        <v>196</v>
      </c>
      <c r="G80" s="49">
        <v>6636</v>
      </c>
      <c r="H80" s="49">
        <v>5000</v>
      </c>
      <c r="I80" s="49">
        <v>5000</v>
      </c>
      <c r="J80" s="49">
        <v>2500</v>
      </c>
      <c r="K80" s="57">
        <f t="shared" si="16"/>
        <v>37.673297166968048</v>
      </c>
      <c r="L80" s="57">
        <f t="shared" si="17"/>
        <v>50</v>
      </c>
    </row>
    <row r="81" spans="2:12" x14ac:dyDescent="0.25">
      <c r="B81" s="58"/>
      <c r="C81" s="38"/>
      <c r="D81" s="38"/>
      <c r="E81" s="59" t="s">
        <v>197</v>
      </c>
      <c r="F81" s="58" t="s">
        <v>198</v>
      </c>
      <c r="G81" s="49">
        <v>0</v>
      </c>
      <c r="H81" s="49">
        <v>2000</v>
      </c>
      <c r="I81" s="49">
        <v>2000</v>
      </c>
      <c r="J81" s="49">
        <v>0</v>
      </c>
      <c r="K81" s="57" t="e">
        <f t="shared" si="16"/>
        <v>#DIV/0!</v>
      </c>
      <c r="L81" s="57">
        <f t="shared" si="17"/>
        <v>0</v>
      </c>
    </row>
    <row r="82" spans="2:12" x14ac:dyDescent="0.25">
      <c r="B82" s="58"/>
      <c r="C82" s="38"/>
      <c r="D82" s="38"/>
      <c r="E82" s="59">
        <v>3294</v>
      </c>
      <c r="F82" s="58" t="s">
        <v>199</v>
      </c>
      <c r="G82" s="49">
        <v>929</v>
      </c>
      <c r="H82" s="49">
        <v>700</v>
      </c>
      <c r="I82" s="49">
        <v>700</v>
      </c>
      <c r="J82" s="49">
        <v>350</v>
      </c>
      <c r="K82" s="57">
        <f t="shared" si="16"/>
        <v>37.674919268030138</v>
      </c>
      <c r="L82" s="57">
        <f t="shared" si="17"/>
        <v>50</v>
      </c>
    </row>
    <row r="83" spans="2:12" x14ac:dyDescent="0.25">
      <c r="B83" s="58"/>
      <c r="C83" s="38"/>
      <c r="D83" s="38"/>
      <c r="E83" s="59" t="s">
        <v>200</v>
      </c>
      <c r="F83" s="58" t="s">
        <v>193</v>
      </c>
      <c r="G83" s="49">
        <v>265</v>
      </c>
      <c r="H83" s="49">
        <f>1000+1000</f>
        <v>2000</v>
      </c>
      <c r="I83" s="49">
        <f>1000+1000</f>
        <v>2000</v>
      </c>
      <c r="J83" s="49">
        <v>500</v>
      </c>
      <c r="K83" s="57">
        <f t="shared" si="16"/>
        <v>188.67924528301887</v>
      </c>
      <c r="L83" s="57">
        <f t="shared" si="17"/>
        <v>25</v>
      </c>
    </row>
    <row r="84" spans="2:12" x14ac:dyDescent="0.25">
      <c r="B84" s="58"/>
      <c r="C84" s="59">
        <v>34</v>
      </c>
      <c r="D84" s="38"/>
      <c r="E84" s="63"/>
      <c r="F84" s="64" t="s">
        <v>201</v>
      </c>
      <c r="G84" s="49">
        <f>G85</f>
        <v>1062</v>
      </c>
      <c r="H84" s="49">
        <f t="shared" ref="H84:J85" si="27">H85</f>
        <v>2000</v>
      </c>
      <c r="I84" s="49">
        <f t="shared" si="27"/>
        <v>2000</v>
      </c>
      <c r="J84" s="49">
        <f t="shared" si="27"/>
        <v>1000</v>
      </c>
      <c r="K84" s="57">
        <f t="shared" si="16"/>
        <v>94.161958568738228</v>
      </c>
      <c r="L84" s="57">
        <f t="shared" si="17"/>
        <v>50</v>
      </c>
    </row>
    <row r="85" spans="2:12" x14ac:dyDescent="0.25">
      <c r="B85" s="58"/>
      <c r="C85" s="38"/>
      <c r="D85" s="59">
        <v>343</v>
      </c>
      <c r="E85" s="63"/>
      <c r="F85" s="58" t="s">
        <v>202</v>
      </c>
      <c r="G85" s="49">
        <f>G86</f>
        <v>1062</v>
      </c>
      <c r="H85" s="49">
        <f t="shared" si="27"/>
        <v>2000</v>
      </c>
      <c r="I85" s="49">
        <f t="shared" si="27"/>
        <v>2000</v>
      </c>
      <c r="J85" s="49">
        <f t="shared" si="27"/>
        <v>1000</v>
      </c>
      <c r="K85" s="57">
        <f t="shared" si="16"/>
        <v>94.161958568738228</v>
      </c>
      <c r="L85" s="57">
        <f t="shared" si="17"/>
        <v>50</v>
      </c>
    </row>
    <row r="86" spans="2:12" x14ac:dyDescent="0.25">
      <c r="B86" s="58"/>
      <c r="C86" s="38"/>
      <c r="D86" s="38"/>
      <c r="E86" s="59" t="s">
        <v>203</v>
      </c>
      <c r="F86" s="58" t="s">
        <v>204</v>
      </c>
      <c r="G86" s="49">
        <v>1062</v>
      </c>
      <c r="H86" s="49">
        <v>2000</v>
      </c>
      <c r="I86" s="49">
        <v>2000</v>
      </c>
      <c r="J86" s="49">
        <v>1000</v>
      </c>
      <c r="K86" s="57">
        <f t="shared" si="16"/>
        <v>94.161958568738228</v>
      </c>
      <c r="L86" s="57">
        <f t="shared" si="17"/>
        <v>50</v>
      </c>
    </row>
    <row r="87" spans="2:12" x14ac:dyDescent="0.25">
      <c r="B87" s="58"/>
      <c r="C87" s="59" t="s">
        <v>205</v>
      </c>
      <c r="D87" s="38"/>
      <c r="E87" s="63"/>
      <c r="F87" s="64" t="s">
        <v>206</v>
      </c>
      <c r="G87" s="49">
        <f t="shared" ref="G87:I87" si="28">+G88</f>
        <v>0</v>
      </c>
      <c r="H87" s="49">
        <f t="shared" si="28"/>
        <v>0</v>
      </c>
      <c r="I87" s="49">
        <f t="shared" si="28"/>
        <v>0</v>
      </c>
      <c r="J87" s="49">
        <f>+J88</f>
        <v>1.43</v>
      </c>
      <c r="K87" s="57" t="e">
        <f t="shared" si="16"/>
        <v>#DIV/0!</v>
      </c>
      <c r="L87" s="57" t="e">
        <f t="shared" si="17"/>
        <v>#DIV/0!</v>
      </c>
    </row>
    <row r="88" spans="2:12" x14ac:dyDescent="0.25">
      <c r="B88" s="58"/>
      <c r="C88" s="38"/>
      <c r="D88" s="59">
        <v>369</v>
      </c>
      <c r="E88" s="63"/>
      <c r="F88" s="58" t="s">
        <v>207</v>
      </c>
      <c r="G88" s="49">
        <f t="shared" ref="G88:I88" si="29">+G89</f>
        <v>0</v>
      </c>
      <c r="H88" s="49">
        <f t="shared" si="29"/>
        <v>0</v>
      </c>
      <c r="I88" s="49">
        <f t="shared" si="29"/>
        <v>0</v>
      </c>
      <c r="J88" s="49">
        <f>+J89</f>
        <v>1.43</v>
      </c>
      <c r="K88" s="57" t="e">
        <f t="shared" si="16"/>
        <v>#DIV/0!</v>
      </c>
      <c r="L88" s="57" t="e">
        <f t="shared" si="17"/>
        <v>#DIV/0!</v>
      </c>
    </row>
    <row r="89" spans="2:12" x14ac:dyDescent="0.25">
      <c r="B89" s="58"/>
      <c r="C89" s="38"/>
      <c r="D89" s="38"/>
      <c r="E89" s="59">
        <v>3691</v>
      </c>
      <c r="F89" s="58" t="s">
        <v>73</v>
      </c>
      <c r="G89" s="49">
        <v>0</v>
      </c>
      <c r="H89" s="49">
        <v>0</v>
      </c>
      <c r="I89" s="49">
        <v>0</v>
      </c>
      <c r="J89" s="49">
        <v>1.43</v>
      </c>
      <c r="K89" s="57" t="e">
        <f t="shared" si="16"/>
        <v>#DIV/0!</v>
      </c>
      <c r="L89" s="57" t="e">
        <f t="shared" si="17"/>
        <v>#DIV/0!</v>
      </c>
    </row>
    <row r="90" spans="2:12" x14ac:dyDescent="0.25">
      <c r="B90" s="65">
        <v>4</v>
      </c>
      <c r="C90" s="65"/>
      <c r="D90" s="38"/>
      <c r="E90" s="63"/>
      <c r="F90" s="64" t="s">
        <v>5</v>
      </c>
      <c r="G90" s="62">
        <f>G91+G103</f>
        <v>0</v>
      </c>
      <c r="H90" s="62">
        <f t="shared" ref="H90:J90" si="30">H91+H103</f>
        <v>4000</v>
      </c>
      <c r="I90" s="62">
        <f t="shared" si="30"/>
        <v>4000</v>
      </c>
      <c r="J90" s="62">
        <f t="shared" si="30"/>
        <v>4219</v>
      </c>
      <c r="K90" s="57" t="e">
        <f t="shared" si="16"/>
        <v>#DIV/0!</v>
      </c>
      <c r="L90" s="57">
        <f t="shared" si="17"/>
        <v>105.47500000000001</v>
      </c>
    </row>
    <row r="91" spans="2:12" x14ac:dyDescent="0.25">
      <c r="B91" s="58"/>
      <c r="C91" s="59">
        <v>42</v>
      </c>
      <c r="D91" s="38"/>
      <c r="E91" s="63"/>
      <c r="F91" s="64" t="s">
        <v>209</v>
      </c>
      <c r="G91" s="49">
        <f>G92+G95+G99+G101</f>
        <v>0</v>
      </c>
      <c r="H91" s="49">
        <f t="shared" ref="H91:J91" si="31">H92+H95+H99+H101</f>
        <v>4000</v>
      </c>
      <c r="I91" s="49">
        <f t="shared" si="31"/>
        <v>4000</v>
      </c>
      <c r="J91" s="49">
        <f t="shared" si="31"/>
        <v>4219</v>
      </c>
      <c r="K91" s="57" t="e">
        <f t="shared" si="16"/>
        <v>#DIV/0!</v>
      </c>
      <c r="L91" s="57">
        <f t="shared" si="17"/>
        <v>105.47500000000001</v>
      </c>
    </row>
    <row r="92" spans="2:12" x14ac:dyDescent="0.25">
      <c r="B92" s="58"/>
      <c r="C92" s="38"/>
      <c r="D92" s="59" t="s">
        <v>210</v>
      </c>
      <c r="E92" s="63"/>
      <c r="F92" s="58" t="s">
        <v>211</v>
      </c>
      <c r="G92" s="49">
        <f>G93+G94</f>
        <v>0</v>
      </c>
      <c r="H92" s="49">
        <f t="shared" ref="H92:J92" si="32">H93+H94</f>
        <v>0</v>
      </c>
      <c r="I92" s="49">
        <f t="shared" si="32"/>
        <v>0</v>
      </c>
      <c r="J92" s="49">
        <f t="shared" si="32"/>
        <v>0</v>
      </c>
      <c r="K92" s="57" t="e">
        <f t="shared" si="16"/>
        <v>#DIV/0!</v>
      </c>
      <c r="L92" s="57" t="e">
        <f t="shared" si="17"/>
        <v>#DIV/0!</v>
      </c>
    </row>
    <row r="93" spans="2:12" x14ac:dyDescent="0.25">
      <c r="B93" s="58"/>
      <c r="C93" s="38"/>
      <c r="D93" s="38"/>
      <c r="E93" s="59" t="s">
        <v>212</v>
      </c>
      <c r="F93" s="58" t="s">
        <v>213</v>
      </c>
      <c r="G93" s="49">
        <v>0</v>
      </c>
      <c r="H93" s="49">
        <v>0</v>
      </c>
      <c r="I93" s="49">
        <v>0</v>
      </c>
      <c r="J93" s="49">
        <v>0</v>
      </c>
      <c r="K93" s="57" t="e">
        <f t="shared" si="16"/>
        <v>#DIV/0!</v>
      </c>
      <c r="L93" s="57" t="e">
        <f t="shared" si="17"/>
        <v>#DIV/0!</v>
      </c>
    </row>
    <row r="94" spans="2:12" x14ac:dyDescent="0.25">
      <c r="B94" s="58"/>
      <c r="C94" s="38"/>
      <c r="D94" s="38"/>
      <c r="E94" s="59" t="s">
        <v>214</v>
      </c>
      <c r="F94" s="58" t="s">
        <v>215</v>
      </c>
      <c r="G94" s="49">
        <v>0</v>
      </c>
      <c r="H94" s="49">
        <v>0</v>
      </c>
      <c r="I94" s="49">
        <v>0</v>
      </c>
      <c r="J94" s="49">
        <v>0</v>
      </c>
      <c r="K94" s="57" t="e">
        <f t="shared" si="16"/>
        <v>#DIV/0!</v>
      </c>
      <c r="L94" s="57" t="e">
        <f t="shared" si="17"/>
        <v>#DIV/0!</v>
      </c>
    </row>
    <row r="95" spans="2:12" x14ac:dyDescent="0.25">
      <c r="B95" s="58"/>
      <c r="C95" s="38"/>
      <c r="D95" s="59">
        <v>422</v>
      </c>
      <c r="F95" s="58" t="s">
        <v>216</v>
      </c>
      <c r="G95" s="49">
        <f>G96+G97+G98</f>
        <v>0</v>
      </c>
      <c r="H95" s="49">
        <f t="shared" ref="H95:J95" si="33">H96+H97+H98</f>
        <v>4000</v>
      </c>
      <c r="I95" s="49">
        <f t="shared" si="33"/>
        <v>4000</v>
      </c>
      <c r="J95" s="49">
        <f t="shared" si="33"/>
        <v>4219</v>
      </c>
      <c r="K95" s="57" t="e">
        <f t="shared" si="16"/>
        <v>#DIV/0!</v>
      </c>
      <c r="L95" s="57">
        <f t="shared" si="17"/>
        <v>105.47500000000001</v>
      </c>
    </row>
    <row r="96" spans="2:12" x14ac:dyDescent="0.25">
      <c r="B96" s="58"/>
      <c r="C96" s="38"/>
      <c r="D96" s="38"/>
      <c r="E96" s="59" t="s">
        <v>217</v>
      </c>
      <c r="F96" s="58" t="s">
        <v>99</v>
      </c>
      <c r="G96" s="49">
        <v>0</v>
      </c>
      <c r="H96" s="49">
        <v>0</v>
      </c>
      <c r="I96" s="49">
        <v>0</v>
      </c>
      <c r="J96" s="49">
        <v>0</v>
      </c>
      <c r="K96" s="57" t="e">
        <f t="shared" si="16"/>
        <v>#DIV/0!</v>
      </c>
      <c r="L96" s="57" t="e">
        <f t="shared" si="17"/>
        <v>#DIV/0!</v>
      </c>
    </row>
    <row r="97" spans="2:12" x14ac:dyDescent="0.25">
      <c r="B97" s="58"/>
      <c r="C97" s="38"/>
      <c r="D97" s="38"/>
      <c r="E97" s="59" t="s">
        <v>218</v>
      </c>
      <c r="F97" s="58" t="s">
        <v>219</v>
      </c>
      <c r="G97" s="49">
        <v>0</v>
      </c>
      <c r="H97" s="49">
        <v>0</v>
      </c>
      <c r="I97" s="49">
        <v>0</v>
      </c>
      <c r="J97" s="49">
        <v>0</v>
      </c>
      <c r="K97" s="57" t="e">
        <f t="shared" si="16"/>
        <v>#DIV/0!</v>
      </c>
      <c r="L97" s="57" t="e">
        <f t="shared" si="17"/>
        <v>#DIV/0!</v>
      </c>
    </row>
    <row r="98" spans="2:12" x14ac:dyDescent="0.25">
      <c r="B98" s="58"/>
      <c r="C98" s="38"/>
      <c r="D98" s="38"/>
      <c r="E98" s="59" t="s">
        <v>220</v>
      </c>
      <c r="F98" s="58" t="s">
        <v>100</v>
      </c>
      <c r="G98" s="49">
        <v>0</v>
      </c>
      <c r="H98" s="49">
        <v>4000</v>
      </c>
      <c r="I98" s="49">
        <v>4000</v>
      </c>
      <c r="J98" s="49">
        <v>4219</v>
      </c>
      <c r="K98" s="57" t="e">
        <f t="shared" si="16"/>
        <v>#DIV/0!</v>
      </c>
      <c r="L98" s="57">
        <f t="shared" si="17"/>
        <v>105.47500000000001</v>
      </c>
    </row>
    <row r="99" spans="2:12" x14ac:dyDescent="0.25">
      <c r="B99" s="58"/>
      <c r="C99" s="38"/>
      <c r="D99" s="59" t="s">
        <v>221</v>
      </c>
      <c r="E99" s="63"/>
      <c r="F99" s="58" t="s">
        <v>222</v>
      </c>
      <c r="G99" s="49">
        <f>G100</f>
        <v>0</v>
      </c>
      <c r="H99" s="49">
        <f t="shared" ref="H99:J99" si="34">H100</f>
        <v>0</v>
      </c>
      <c r="I99" s="49">
        <f t="shared" si="34"/>
        <v>0</v>
      </c>
      <c r="J99" s="49">
        <f t="shared" si="34"/>
        <v>0</v>
      </c>
      <c r="K99" s="57" t="e">
        <f t="shared" si="16"/>
        <v>#DIV/0!</v>
      </c>
      <c r="L99" s="57" t="e">
        <f t="shared" si="17"/>
        <v>#DIV/0!</v>
      </c>
    </row>
    <row r="100" spans="2:12" x14ac:dyDescent="0.25">
      <c r="B100" s="58"/>
      <c r="C100" s="38"/>
      <c r="D100" s="38"/>
      <c r="E100" s="59" t="s">
        <v>223</v>
      </c>
      <c r="F100" s="58" t="s">
        <v>101</v>
      </c>
      <c r="G100" s="49">
        <v>0</v>
      </c>
      <c r="H100" s="49">
        <v>0</v>
      </c>
      <c r="I100" s="49">
        <v>0</v>
      </c>
      <c r="J100" s="49">
        <v>0</v>
      </c>
      <c r="K100" s="57" t="e">
        <f t="shared" si="16"/>
        <v>#DIV/0!</v>
      </c>
      <c r="L100" s="57" t="e">
        <f t="shared" si="17"/>
        <v>#DIV/0!</v>
      </c>
    </row>
    <row r="101" spans="2:12" x14ac:dyDescent="0.25">
      <c r="B101" s="58"/>
      <c r="C101" s="38"/>
      <c r="D101" s="59" t="s">
        <v>224</v>
      </c>
      <c r="E101" s="63"/>
      <c r="F101" s="58" t="s">
        <v>225</v>
      </c>
      <c r="G101" s="49">
        <f>G102</f>
        <v>0</v>
      </c>
      <c r="H101" s="49">
        <f t="shared" ref="H101:J101" si="35">H102</f>
        <v>0</v>
      </c>
      <c r="I101" s="49">
        <f t="shared" si="35"/>
        <v>0</v>
      </c>
      <c r="J101" s="49">
        <f t="shared" si="35"/>
        <v>0</v>
      </c>
      <c r="K101" s="57" t="e">
        <f t="shared" si="16"/>
        <v>#DIV/0!</v>
      </c>
      <c r="L101" s="57" t="e">
        <f t="shared" si="17"/>
        <v>#DIV/0!</v>
      </c>
    </row>
    <row r="102" spans="2:12" x14ac:dyDescent="0.25">
      <c r="B102" s="58"/>
      <c r="C102" s="38"/>
      <c r="D102" s="38"/>
      <c r="E102" s="59" t="s">
        <v>226</v>
      </c>
      <c r="F102" s="58" t="s">
        <v>227</v>
      </c>
      <c r="G102" s="49">
        <v>0</v>
      </c>
      <c r="H102" s="49">
        <v>0</v>
      </c>
      <c r="I102" s="49">
        <v>0</v>
      </c>
      <c r="J102" s="49">
        <v>0</v>
      </c>
      <c r="K102" s="57" t="e">
        <f t="shared" si="16"/>
        <v>#DIV/0!</v>
      </c>
      <c r="L102" s="57" t="e">
        <f t="shared" si="17"/>
        <v>#DIV/0!</v>
      </c>
    </row>
    <row r="103" spans="2:12" x14ac:dyDescent="0.25">
      <c r="B103" s="58"/>
      <c r="C103" s="59" t="s">
        <v>228</v>
      </c>
      <c r="D103" s="38"/>
      <c r="E103" s="63"/>
      <c r="F103" s="64" t="s">
        <v>229</v>
      </c>
      <c r="G103" s="49">
        <f>+G104</f>
        <v>0</v>
      </c>
      <c r="H103" s="49">
        <f t="shared" ref="H103:J103" si="36">+H104</f>
        <v>0</v>
      </c>
      <c r="I103" s="49">
        <f t="shared" si="36"/>
        <v>0</v>
      </c>
      <c r="J103" s="49">
        <f t="shared" si="36"/>
        <v>0</v>
      </c>
      <c r="K103" s="57" t="e">
        <f t="shared" si="16"/>
        <v>#DIV/0!</v>
      </c>
      <c r="L103" s="57" t="e">
        <f t="shared" si="17"/>
        <v>#DIV/0!</v>
      </c>
    </row>
    <row r="104" spans="2:12" x14ac:dyDescent="0.25">
      <c r="B104" s="58"/>
      <c r="C104" s="38"/>
      <c r="D104" s="59" t="s">
        <v>230</v>
      </c>
      <c r="E104" s="63"/>
      <c r="F104" s="58" t="s">
        <v>231</v>
      </c>
      <c r="G104" s="49">
        <f>G105</f>
        <v>0</v>
      </c>
      <c r="H104" s="49">
        <f t="shared" ref="H104:J104" si="37">H105</f>
        <v>0</v>
      </c>
      <c r="I104" s="49">
        <f t="shared" si="37"/>
        <v>0</v>
      </c>
      <c r="J104" s="49">
        <f t="shared" si="37"/>
        <v>0</v>
      </c>
      <c r="K104" s="57" t="e">
        <f t="shared" si="16"/>
        <v>#DIV/0!</v>
      </c>
      <c r="L104" s="57" t="e">
        <f t="shared" si="17"/>
        <v>#DIV/0!</v>
      </c>
    </row>
    <row r="105" spans="2:12" x14ac:dyDescent="0.25">
      <c r="B105" s="58"/>
      <c r="C105" s="38"/>
      <c r="D105" s="38"/>
      <c r="E105" s="59" t="s">
        <v>232</v>
      </c>
      <c r="F105" s="58" t="s">
        <v>231</v>
      </c>
      <c r="G105" s="49">
        <v>0</v>
      </c>
      <c r="H105" s="49">
        <v>0</v>
      </c>
      <c r="I105" s="49">
        <v>0</v>
      </c>
      <c r="J105" s="49">
        <v>0</v>
      </c>
      <c r="K105" s="57" t="e">
        <f t="shared" si="16"/>
        <v>#DIV/0!</v>
      </c>
      <c r="L105" s="57" t="e">
        <f t="shared" si="17"/>
        <v>#DIV/0!</v>
      </c>
    </row>
    <row r="106" spans="2:12" ht="15" customHeight="1" x14ac:dyDescent="0.25"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</row>
    <row r="107" spans="2:12" x14ac:dyDescent="0.25"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</row>
    <row r="108" spans="2:12" ht="4.5" customHeight="1" x14ac:dyDescent="0.25"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</row>
  </sheetData>
  <mergeCells count="7">
    <mergeCell ref="B2:L2"/>
    <mergeCell ref="B4:L4"/>
    <mergeCell ref="B6:L6"/>
    <mergeCell ref="B44:F44"/>
    <mergeCell ref="B9:F9"/>
    <mergeCell ref="B43:F43"/>
    <mergeCell ref="B8:F8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rowBreaks count="1" manualBreakCount="1">
    <brk id="41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6"/>
  <sheetViews>
    <sheetView zoomScaleNormal="100" workbookViewId="0">
      <selection activeCell="F37" sqref="F37"/>
    </sheetView>
  </sheetViews>
  <sheetFormatPr defaultRowHeight="12.75" x14ac:dyDescent="0.2"/>
  <cols>
    <col min="1" max="1" width="9.140625" style="30"/>
    <col min="2" max="2" width="37.7109375" style="30" customWidth="1"/>
    <col min="3" max="6" width="25.28515625" style="30" customWidth="1"/>
    <col min="7" max="8" width="15.7109375" style="30" customWidth="1"/>
    <col min="9" max="16384" width="9.140625" style="30"/>
  </cols>
  <sheetData>
    <row r="1" spans="2:9" x14ac:dyDescent="0.2">
      <c r="B1" s="32"/>
      <c r="C1" s="32"/>
      <c r="D1" s="32"/>
      <c r="E1" s="32"/>
      <c r="F1" s="4"/>
      <c r="G1" s="4"/>
      <c r="H1" s="4"/>
    </row>
    <row r="2" spans="2:9" ht="15.75" customHeight="1" x14ac:dyDescent="0.2">
      <c r="B2" s="110" t="s">
        <v>35</v>
      </c>
      <c r="C2" s="110"/>
      <c r="D2" s="110"/>
      <c r="E2" s="110"/>
      <c r="F2" s="110"/>
      <c r="G2" s="110"/>
      <c r="H2" s="110"/>
    </row>
    <row r="3" spans="2:9" x14ac:dyDescent="0.2">
      <c r="B3" s="32"/>
      <c r="C3" s="32"/>
      <c r="D3" s="32"/>
      <c r="E3" s="32"/>
      <c r="F3" s="4"/>
      <c r="G3" s="4"/>
      <c r="H3" s="4"/>
    </row>
    <row r="4" spans="2:9" ht="33.75" customHeight="1" x14ac:dyDescent="0.2">
      <c r="B4" s="20" t="s">
        <v>6</v>
      </c>
      <c r="C4" s="20" t="s">
        <v>18</v>
      </c>
      <c r="D4" s="20" t="s">
        <v>267</v>
      </c>
      <c r="E4" s="20" t="s">
        <v>268</v>
      </c>
      <c r="F4" s="20" t="s">
        <v>272</v>
      </c>
      <c r="G4" s="20" t="s">
        <v>19</v>
      </c>
      <c r="H4" s="20" t="s">
        <v>45</v>
      </c>
    </row>
    <row r="5" spans="2:9" x14ac:dyDescent="0.2"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 t="s">
        <v>32</v>
      </c>
      <c r="H5" s="20" t="s">
        <v>33</v>
      </c>
    </row>
    <row r="6" spans="2:9" x14ac:dyDescent="0.2">
      <c r="B6" s="7" t="s">
        <v>42</v>
      </c>
      <c r="C6" s="45">
        <f>C7+C9+C11+C13+C17+C19</f>
        <v>205618.58000000002</v>
      </c>
      <c r="D6" s="45">
        <f t="shared" ref="D6:F6" si="0">D7+D9+D11+D13+D17+D19</f>
        <v>750033</v>
      </c>
      <c r="E6" s="45">
        <f t="shared" si="0"/>
        <v>750033</v>
      </c>
      <c r="F6" s="45">
        <f t="shared" si="0"/>
        <v>339656.42000000004</v>
      </c>
      <c r="G6" s="46">
        <f>F6/C6*100</f>
        <v>165.18761096395082</v>
      </c>
      <c r="H6" s="46">
        <f>F6/E6*100</f>
        <v>45.285530103342126</v>
      </c>
      <c r="I6" s="87"/>
    </row>
    <row r="7" spans="2:9" ht="15" customHeight="1" x14ac:dyDescent="0.2">
      <c r="B7" s="7" t="s">
        <v>14</v>
      </c>
      <c r="C7" s="45">
        <f>C8</f>
        <v>165369.84</v>
      </c>
      <c r="D7" s="45">
        <f t="shared" ref="D7:F7" si="1">D8</f>
        <v>517745</v>
      </c>
      <c r="E7" s="45">
        <f t="shared" si="1"/>
        <v>517745</v>
      </c>
      <c r="F7" s="45">
        <f t="shared" si="1"/>
        <v>254442.26</v>
      </c>
      <c r="G7" s="46">
        <f t="shared" ref="G7:G20" si="2">F7/C7*100</f>
        <v>153.86255438113747</v>
      </c>
      <c r="H7" s="46">
        <f t="shared" ref="H7:H20" si="3">F7/E7*100</f>
        <v>49.144320080348436</v>
      </c>
    </row>
    <row r="8" spans="2:9" ht="15.75" customHeight="1" x14ac:dyDescent="0.2">
      <c r="B8" s="13" t="s">
        <v>15</v>
      </c>
      <c r="C8" s="44">
        <v>165369.84</v>
      </c>
      <c r="D8" s="44">
        <v>517745</v>
      </c>
      <c r="E8" s="44">
        <v>517745</v>
      </c>
      <c r="F8" s="44">
        <f>214870.45+39571.81</f>
        <v>254442.26</v>
      </c>
      <c r="G8" s="39">
        <f t="shared" si="2"/>
        <v>153.86255438113747</v>
      </c>
      <c r="H8" s="39">
        <f t="shared" si="3"/>
        <v>49.144320080348436</v>
      </c>
    </row>
    <row r="9" spans="2:9" ht="15" customHeight="1" x14ac:dyDescent="0.2">
      <c r="B9" s="7" t="s">
        <v>16</v>
      </c>
      <c r="C9" s="45">
        <f>C10</f>
        <v>22198.42</v>
      </c>
      <c r="D9" s="45">
        <f t="shared" ref="D9:F9" si="4">D10</f>
        <v>40000</v>
      </c>
      <c r="E9" s="45">
        <f t="shared" si="4"/>
        <v>40000</v>
      </c>
      <c r="F9" s="45">
        <f t="shared" si="4"/>
        <v>25212.43</v>
      </c>
      <c r="G9" s="46">
        <f t="shared" si="2"/>
        <v>113.57758795445802</v>
      </c>
      <c r="H9" s="46">
        <f t="shared" si="3"/>
        <v>63.031075000000001</v>
      </c>
    </row>
    <row r="10" spans="2:9" ht="15" customHeight="1" x14ac:dyDescent="0.2">
      <c r="B10" s="14" t="s">
        <v>17</v>
      </c>
      <c r="C10" s="44">
        <v>22198.42</v>
      </c>
      <c r="D10" s="44">
        <v>40000</v>
      </c>
      <c r="E10" s="44">
        <v>40000</v>
      </c>
      <c r="F10" s="44">
        <f>21926.02+3286.41</f>
        <v>25212.43</v>
      </c>
      <c r="G10" s="39">
        <f t="shared" si="2"/>
        <v>113.57758795445802</v>
      </c>
      <c r="H10" s="39">
        <f t="shared" si="3"/>
        <v>63.031075000000001</v>
      </c>
    </row>
    <row r="11" spans="2:9" ht="15" customHeight="1" x14ac:dyDescent="0.2">
      <c r="B11" s="7" t="s">
        <v>145</v>
      </c>
      <c r="C11" s="45">
        <f>C12</f>
        <v>2859.75</v>
      </c>
      <c r="D11" s="45">
        <f t="shared" ref="D11:F11" si="5">D12</f>
        <v>9060</v>
      </c>
      <c r="E11" s="45">
        <f t="shared" si="5"/>
        <v>9060</v>
      </c>
      <c r="F11" s="45">
        <f t="shared" si="5"/>
        <v>1547.65</v>
      </c>
      <c r="G11" s="46">
        <f t="shared" si="2"/>
        <v>54.118366990121515</v>
      </c>
      <c r="H11" s="46">
        <f t="shared" si="3"/>
        <v>17.082229580573951</v>
      </c>
    </row>
    <row r="12" spans="2:9" ht="15" customHeight="1" x14ac:dyDescent="0.2">
      <c r="B12" s="47" t="s">
        <v>146</v>
      </c>
      <c r="C12" s="44">
        <v>2859.75</v>
      </c>
      <c r="D12" s="44">
        <v>9060</v>
      </c>
      <c r="E12" s="44">
        <v>9060</v>
      </c>
      <c r="F12" s="44">
        <f>940.15+607.5</f>
        <v>1547.65</v>
      </c>
      <c r="G12" s="39">
        <f t="shared" si="2"/>
        <v>54.118366990121515</v>
      </c>
      <c r="H12" s="39">
        <f t="shared" si="3"/>
        <v>17.082229580573951</v>
      </c>
    </row>
    <row r="13" spans="2:9" x14ac:dyDescent="0.2">
      <c r="B13" s="7" t="s">
        <v>147</v>
      </c>
      <c r="C13" s="45">
        <f>C14+C15</f>
        <v>15190.57</v>
      </c>
      <c r="D13" s="45">
        <f t="shared" ref="D13:F13" si="6">D14+D15</f>
        <v>183228</v>
      </c>
      <c r="E13" s="45">
        <f t="shared" si="6"/>
        <v>183228</v>
      </c>
      <c r="F13" s="45">
        <f t="shared" si="6"/>
        <v>5087.08</v>
      </c>
      <c r="G13" s="46">
        <f t="shared" si="2"/>
        <v>33.488407610774317</v>
      </c>
      <c r="H13" s="46">
        <f t="shared" si="3"/>
        <v>2.7763660575894513</v>
      </c>
    </row>
    <row r="14" spans="2:9" x14ac:dyDescent="0.2">
      <c r="B14" s="47" t="s">
        <v>148</v>
      </c>
      <c r="C14" s="44">
        <v>15190.57</v>
      </c>
      <c r="D14" s="44">
        <v>183228</v>
      </c>
      <c r="E14" s="44">
        <v>183228</v>
      </c>
      <c r="F14" s="44">
        <v>5087.08</v>
      </c>
      <c r="G14" s="39">
        <f t="shared" si="2"/>
        <v>33.488407610774317</v>
      </c>
      <c r="H14" s="39">
        <f t="shared" si="3"/>
        <v>2.7763660575894513</v>
      </c>
    </row>
    <row r="15" spans="2:9" x14ac:dyDescent="0.2">
      <c r="B15" s="47" t="s">
        <v>149</v>
      </c>
      <c r="C15" s="44">
        <v>0</v>
      </c>
      <c r="D15" s="44">
        <f t="shared" ref="D15:F15" si="7">+D16</f>
        <v>0</v>
      </c>
      <c r="E15" s="44">
        <f t="shared" si="7"/>
        <v>0</v>
      </c>
      <c r="F15" s="44">
        <f t="shared" si="7"/>
        <v>0</v>
      </c>
      <c r="G15" s="39" t="e">
        <f t="shared" si="2"/>
        <v>#DIV/0!</v>
      </c>
      <c r="H15" s="39" t="e">
        <f t="shared" si="3"/>
        <v>#DIV/0!</v>
      </c>
    </row>
    <row r="16" spans="2:9" ht="28.5" customHeight="1" x14ac:dyDescent="0.2">
      <c r="B16" s="47" t="s">
        <v>150</v>
      </c>
      <c r="C16" s="44">
        <v>0</v>
      </c>
      <c r="D16" s="44">
        <v>0</v>
      </c>
      <c r="E16" s="44">
        <v>0</v>
      </c>
      <c r="F16" s="44">
        <v>0</v>
      </c>
      <c r="G16" s="39" t="e">
        <f t="shared" si="2"/>
        <v>#DIV/0!</v>
      </c>
      <c r="H16" s="39" t="e">
        <f t="shared" si="3"/>
        <v>#DIV/0!</v>
      </c>
    </row>
    <row r="17" spans="2:8" ht="15.75" customHeight="1" x14ac:dyDescent="0.2">
      <c r="B17" s="7" t="s">
        <v>151</v>
      </c>
      <c r="C17" s="45">
        <f>C18</f>
        <v>0</v>
      </c>
      <c r="D17" s="45">
        <f t="shared" ref="D17:F17" si="8">D18</f>
        <v>0</v>
      </c>
      <c r="E17" s="45">
        <f t="shared" si="8"/>
        <v>0</v>
      </c>
      <c r="F17" s="45">
        <f t="shared" si="8"/>
        <v>52567</v>
      </c>
      <c r="G17" s="46" t="e">
        <f t="shared" si="2"/>
        <v>#DIV/0!</v>
      </c>
      <c r="H17" s="46" t="e">
        <f t="shared" si="3"/>
        <v>#DIV/0!</v>
      </c>
    </row>
    <row r="18" spans="2:8" ht="15" customHeight="1" x14ac:dyDescent="0.2">
      <c r="B18" s="47" t="s">
        <v>152</v>
      </c>
      <c r="C18" s="44">
        <v>0</v>
      </c>
      <c r="D18" s="44">
        <v>0</v>
      </c>
      <c r="E18" s="44">
        <v>0</v>
      </c>
      <c r="F18" s="44">
        <v>52567</v>
      </c>
      <c r="G18" s="39" t="e">
        <f t="shared" si="2"/>
        <v>#DIV/0!</v>
      </c>
      <c r="H18" s="39" t="e">
        <f t="shared" si="3"/>
        <v>#DIV/0!</v>
      </c>
    </row>
    <row r="19" spans="2:8" ht="47.25" customHeight="1" x14ac:dyDescent="0.2">
      <c r="B19" s="7" t="s">
        <v>153</v>
      </c>
      <c r="C19" s="45">
        <f>C20</f>
        <v>0</v>
      </c>
      <c r="D19" s="45">
        <f t="shared" ref="D19:F19" si="9">D20</f>
        <v>0</v>
      </c>
      <c r="E19" s="45">
        <f t="shared" si="9"/>
        <v>0</v>
      </c>
      <c r="F19" s="45">
        <f t="shared" si="9"/>
        <v>800</v>
      </c>
      <c r="G19" s="46" t="e">
        <f t="shared" si="2"/>
        <v>#DIV/0!</v>
      </c>
      <c r="H19" s="46" t="e">
        <f t="shared" si="3"/>
        <v>#DIV/0!</v>
      </c>
    </row>
    <row r="20" spans="2:8" ht="42" customHeight="1" x14ac:dyDescent="0.2">
      <c r="B20" s="47" t="s">
        <v>154</v>
      </c>
      <c r="C20" s="44">
        <v>0</v>
      </c>
      <c r="D20" s="44">
        <v>0</v>
      </c>
      <c r="E20" s="44">
        <v>0</v>
      </c>
      <c r="F20" s="44">
        <v>800</v>
      </c>
      <c r="G20" s="39" t="e">
        <f t="shared" si="2"/>
        <v>#DIV/0!</v>
      </c>
      <c r="H20" s="39" t="e">
        <f t="shared" si="3"/>
        <v>#DIV/0!</v>
      </c>
    </row>
    <row r="21" spans="2:8" ht="19.5" customHeight="1" x14ac:dyDescent="0.2">
      <c r="B21" s="47"/>
      <c r="C21" s="44"/>
      <c r="D21" s="44"/>
      <c r="E21" s="44"/>
      <c r="F21" s="44"/>
      <c r="G21" s="39"/>
      <c r="H21" s="39"/>
    </row>
    <row r="22" spans="2:8" ht="15.75" customHeight="1" x14ac:dyDescent="0.2">
      <c r="B22" s="7" t="s">
        <v>43</v>
      </c>
      <c r="C22" s="37">
        <f>C23+C25+C27+C29+C33+C35</f>
        <v>187769.05</v>
      </c>
      <c r="D22" s="37">
        <f t="shared" ref="D22:F22" si="10">D23+D25+D27+D29+D33+D35</f>
        <v>750033</v>
      </c>
      <c r="E22" s="37">
        <f t="shared" si="10"/>
        <v>750033</v>
      </c>
      <c r="F22" s="37">
        <f t="shared" si="10"/>
        <v>292094.11000000004</v>
      </c>
      <c r="G22" s="46">
        <f>F22/C22*100</f>
        <v>155.5603066639577</v>
      </c>
      <c r="H22" s="46">
        <f>F22/E22*100</f>
        <v>38.944167789950576</v>
      </c>
    </row>
    <row r="23" spans="2:8" ht="15.75" customHeight="1" x14ac:dyDescent="0.2">
      <c r="B23" s="7" t="s">
        <v>14</v>
      </c>
      <c r="C23" s="52">
        <f>SUM(C24)</f>
        <v>165369.84</v>
      </c>
      <c r="D23" s="52">
        <f t="shared" ref="D23:F23" si="11">SUM(D24)</f>
        <v>517745</v>
      </c>
      <c r="E23" s="52">
        <f t="shared" si="11"/>
        <v>517745</v>
      </c>
      <c r="F23" s="52">
        <f t="shared" si="11"/>
        <v>254442.26</v>
      </c>
      <c r="G23" s="46">
        <f t="shared" ref="G23:G36" si="12">F23/C23*100</f>
        <v>153.86255438113747</v>
      </c>
      <c r="H23" s="46">
        <f t="shared" ref="H23:H36" si="13">F23/E23*100</f>
        <v>49.144320080348436</v>
      </c>
    </row>
    <row r="24" spans="2:8" x14ac:dyDescent="0.2">
      <c r="B24" s="13" t="s">
        <v>15</v>
      </c>
      <c r="C24" s="48">
        <v>165369.84</v>
      </c>
      <c r="D24" s="49">
        <v>517745</v>
      </c>
      <c r="E24" s="49">
        <v>517745</v>
      </c>
      <c r="F24" s="49">
        <f>214870.45+39571.81</f>
        <v>254442.26</v>
      </c>
      <c r="G24" s="46">
        <f t="shared" si="12"/>
        <v>153.86255438113747</v>
      </c>
      <c r="H24" s="46">
        <f t="shared" si="13"/>
        <v>49.144320080348436</v>
      </c>
    </row>
    <row r="25" spans="2:8" x14ac:dyDescent="0.2">
      <c r="B25" s="7" t="s">
        <v>16</v>
      </c>
      <c r="C25" s="52">
        <f>SUM(C26)</f>
        <v>11180.2</v>
      </c>
      <c r="D25" s="52">
        <f t="shared" ref="D25:F25" si="14">SUM(D26)</f>
        <v>40000</v>
      </c>
      <c r="E25" s="52">
        <f t="shared" si="14"/>
        <v>40000</v>
      </c>
      <c r="F25" s="52">
        <f t="shared" si="14"/>
        <v>27943.69</v>
      </c>
      <c r="G25" s="46">
        <f t="shared" si="12"/>
        <v>249.93908874617622</v>
      </c>
      <c r="H25" s="46">
        <f t="shared" si="13"/>
        <v>69.859224999999995</v>
      </c>
    </row>
    <row r="26" spans="2:8" x14ac:dyDescent="0.2">
      <c r="B26" s="14" t="s">
        <v>17</v>
      </c>
      <c r="C26" s="48">
        <v>11180.2</v>
      </c>
      <c r="D26" s="49">
        <v>40000</v>
      </c>
      <c r="E26" s="49">
        <v>40000</v>
      </c>
      <c r="F26" s="49">
        <f>14615.88+13327.81</f>
        <v>27943.69</v>
      </c>
      <c r="G26" s="46">
        <f t="shared" si="12"/>
        <v>249.93908874617622</v>
      </c>
      <c r="H26" s="46">
        <f t="shared" si="13"/>
        <v>69.859224999999995</v>
      </c>
    </row>
    <row r="27" spans="2:8" x14ac:dyDescent="0.2">
      <c r="B27" s="7" t="s">
        <v>145</v>
      </c>
      <c r="C27" s="52">
        <f>C28</f>
        <v>671.46</v>
      </c>
      <c r="D27" s="52">
        <f t="shared" ref="D27:F27" si="15">D28</f>
        <v>9060</v>
      </c>
      <c r="E27" s="52">
        <f t="shared" si="15"/>
        <v>9060</v>
      </c>
      <c r="F27" s="52">
        <f t="shared" si="15"/>
        <v>402.08</v>
      </c>
      <c r="G27" s="46">
        <f t="shared" si="12"/>
        <v>59.881452357549215</v>
      </c>
      <c r="H27" s="46">
        <f t="shared" si="13"/>
        <v>4.4379690949227371</v>
      </c>
    </row>
    <row r="28" spans="2:8" x14ac:dyDescent="0.2">
      <c r="B28" s="47" t="s">
        <v>146</v>
      </c>
      <c r="C28" s="48">
        <v>671.46</v>
      </c>
      <c r="D28" s="49">
        <v>9060</v>
      </c>
      <c r="E28" s="49">
        <v>9060</v>
      </c>
      <c r="F28" s="49">
        <f>402.08</f>
        <v>402.08</v>
      </c>
      <c r="G28" s="46">
        <f t="shared" si="12"/>
        <v>59.881452357549215</v>
      </c>
      <c r="H28" s="46">
        <f t="shared" si="13"/>
        <v>4.4379690949227371</v>
      </c>
    </row>
    <row r="29" spans="2:8" x14ac:dyDescent="0.2">
      <c r="B29" s="7" t="s">
        <v>147</v>
      </c>
      <c r="C29" s="52">
        <f>SUM(C30:C31)</f>
        <v>10547.55</v>
      </c>
      <c r="D29" s="52">
        <f t="shared" ref="D29:F29" si="16">SUM(D30:D31)</f>
        <v>183228</v>
      </c>
      <c r="E29" s="52">
        <f t="shared" si="16"/>
        <v>183228</v>
      </c>
      <c r="F29" s="52">
        <f t="shared" si="16"/>
        <v>5087.08</v>
      </c>
      <c r="G29" s="46">
        <f t="shared" si="12"/>
        <v>48.229968096856616</v>
      </c>
      <c r="H29" s="46">
        <f t="shared" si="13"/>
        <v>2.7763660575894513</v>
      </c>
    </row>
    <row r="30" spans="2:8" x14ac:dyDescent="0.2">
      <c r="B30" s="47" t="s">
        <v>148</v>
      </c>
      <c r="C30" s="48">
        <v>10547.55</v>
      </c>
      <c r="D30" s="49">
        <v>183228</v>
      </c>
      <c r="E30" s="49">
        <v>183228</v>
      </c>
      <c r="F30" s="49">
        <v>5087.08</v>
      </c>
      <c r="G30" s="46">
        <f t="shared" si="12"/>
        <v>48.229968096856616</v>
      </c>
      <c r="H30" s="46">
        <f t="shared" si="13"/>
        <v>2.7763660575894513</v>
      </c>
    </row>
    <row r="31" spans="2:8" x14ac:dyDescent="0.2">
      <c r="B31" s="47" t="s">
        <v>149</v>
      </c>
      <c r="C31" s="50">
        <v>0</v>
      </c>
      <c r="D31" s="50">
        <f t="shared" ref="D31:F31" si="17">+D32</f>
        <v>0</v>
      </c>
      <c r="E31" s="50">
        <f t="shared" si="17"/>
        <v>0</v>
      </c>
      <c r="F31" s="50">
        <f t="shared" si="17"/>
        <v>0</v>
      </c>
      <c r="G31" s="46" t="e">
        <f t="shared" si="12"/>
        <v>#DIV/0!</v>
      </c>
      <c r="H31" s="46" t="e">
        <f t="shared" si="13"/>
        <v>#DIV/0!</v>
      </c>
    </row>
    <row r="32" spans="2:8" ht="25.5" x14ac:dyDescent="0.2">
      <c r="B32" s="47" t="s">
        <v>150</v>
      </c>
      <c r="C32" s="50">
        <v>0</v>
      </c>
      <c r="D32" s="51">
        <v>0</v>
      </c>
      <c r="E32" s="51">
        <v>0</v>
      </c>
      <c r="F32" s="51">
        <v>0</v>
      </c>
      <c r="G32" s="46" t="e">
        <f t="shared" si="12"/>
        <v>#DIV/0!</v>
      </c>
      <c r="H32" s="46" t="e">
        <f t="shared" si="13"/>
        <v>#DIV/0!</v>
      </c>
    </row>
    <row r="33" spans="2:11" ht="15" customHeight="1" x14ac:dyDescent="0.2">
      <c r="B33" s="7" t="s">
        <v>151</v>
      </c>
      <c r="C33" s="52">
        <f>C34</f>
        <v>0</v>
      </c>
      <c r="D33" s="52">
        <f t="shared" ref="D33:F33" si="18">D34</f>
        <v>0</v>
      </c>
      <c r="E33" s="52">
        <f t="shared" si="18"/>
        <v>0</v>
      </c>
      <c r="F33" s="52">
        <f t="shared" si="18"/>
        <v>4219</v>
      </c>
      <c r="G33" s="46" t="e">
        <f t="shared" si="12"/>
        <v>#DIV/0!</v>
      </c>
      <c r="H33" s="46" t="e">
        <f t="shared" si="13"/>
        <v>#DIV/0!</v>
      </c>
      <c r="I33" s="86"/>
      <c r="J33" s="86"/>
      <c r="K33" s="86"/>
    </row>
    <row r="34" spans="2:11" x14ac:dyDescent="0.2">
      <c r="B34" s="47" t="s">
        <v>152</v>
      </c>
      <c r="C34" s="48">
        <v>0</v>
      </c>
      <c r="D34" s="49">
        <v>0</v>
      </c>
      <c r="E34" s="49">
        <v>0</v>
      </c>
      <c r="F34" s="49">
        <v>4219</v>
      </c>
      <c r="G34" s="46" t="e">
        <f t="shared" si="12"/>
        <v>#DIV/0!</v>
      </c>
      <c r="H34" s="46" t="e">
        <f t="shared" si="13"/>
        <v>#DIV/0!</v>
      </c>
      <c r="I34" s="86"/>
      <c r="J34" s="86"/>
      <c r="K34" s="86"/>
    </row>
    <row r="35" spans="2:11" ht="38.25" x14ac:dyDescent="0.2">
      <c r="B35" s="7" t="s">
        <v>153</v>
      </c>
      <c r="C35" s="52">
        <f>C36</f>
        <v>0</v>
      </c>
      <c r="D35" s="52">
        <f t="shared" ref="D35:F35" si="19">D36</f>
        <v>0</v>
      </c>
      <c r="E35" s="52">
        <f t="shared" si="19"/>
        <v>0</v>
      </c>
      <c r="F35" s="52">
        <f t="shared" si="19"/>
        <v>0</v>
      </c>
      <c r="G35" s="46" t="e">
        <f t="shared" si="12"/>
        <v>#DIV/0!</v>
      </c>
      <c r="H35" s="46" t="e">
        <f t="shared" si="13"/>
        <v>#DIV/0!</v>
      </c>
      <c r="I35" s="86"/>
      <c r="J35" s="86"/>
      <c r="K35" s="86"/>
    </row>
    <row r="36" spans="2:11" ht="38.25" x14ac:dyDescent="0.2">
      <c r="B36" s="47" t="s">
        <v>154</v>
      </c>
      <c r="C36" s="48">
        <v>0</v>
      </c>
      <c r="D36" s="49">
        <v>0</v>
      </c>
      <c r="E36" s="49">
        <v>0</v>
      </c>
      <c r="F36" s="49">
        <v>0</v>
      </c>
      <c r="G36" s="46" t="e">
        <f t="shared" si="12"/>
        <v>#DIV/0!</v>
      </c>
      <c r="H36" s="46" t="e">
        <f t="shared" si="13"/>
        <v>#DIV/0!</v>
      </c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8"/>
  <sheetViews>
    <sheetView workbookViewId="0">
      <selection activeCell="D7" sqref="D7"/>
    </sheetView>
  </sheetViews>
  <sheetFormatPr defaultRowHeight="12.75" x14ac:dyDescent="0.2"/>
  <cols>
    <col min="1" max="1" width="9.140625" style="30"/>
    <col min="2" max="2" width="37.7109375" style="30" customWidth="1"/>
    <col min="3" max="6" width="25.28515625" style="30" customWidth="1"/>
    <col min="7" max="8" width="15.7109375" style="30" customWidth="1"/>
    <col min="9" max="16384" width="9.140625" style="30"/>
  </cols>
  <sheetData>
    <row r="1" spans="2:8" x14ac:dyDescent="0.2">
      <c r="B1" s="32"/>
      <c r="C1" s="32"/>
      <c r="D1" s="32"/>
      <c r="E1" s="32"/>
      <c r="F1" s="4"/>
      <c r="G1" s="4"/>
      <c r="H1" s="4"/>
    </row>
    <row r="2" spans="2:8" ht="15.75" customHeight="1" x14ac:dyDescent="0.2">
      <c r="B2" s="139" t="s">
        <v>36</v>
      </c>
      <c r="C2" s="139"/>
      <c r="D2" s="139"/>
      <c r="E2" s="139"/>
      <c r="F2" s="139"/>
      <c r="G2" s="139"/>
      <c r="H2" s="139"/>
    </row>
    <row r="3" spans="2:8" x14ac:dyDescent="0.2">
      <c r="B3" s="32"/>
      <c r="C3" s="32"/>
      <c r="D3" s="32"/>
      <c r="E3" s="32"/>
      <c r="F3" s="4"/>
      <c r="G3" s="4"/>
      <c r="H3" s="4"/>
    </row>
    <row r="4" spans="2:8" ht="25.5" x14ac:dyDescent="0.2">
      <c r="B4" s="20" t="s">
        <v>6</v>
      </c>
      <c r="C4" s="20" t="s">
        <v>52</v>
      </c>
      <c r="D4" s="20" t="s">
        <v>267</v>
      </c>
      <c r="E4" s="20" t="s">
        <v>268</v>
      </c>
      <c r="F4" s="20" t="s">
        <v>273</v>
      </c>
      <c r="G4" s="20" t="s">
        <v>19</v>
      </c>
      <c r="H4" s="20" t="s">
        <v>45</v>
      </c>
    </row>
    <row r="5" spans="2:8" x14ac:dyDescent="0.2"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 t="s">
        <v>32</v>
      </c>
      <c r="H5" s="20" t="s">
        <v>33</v>
      </c>
    </row>
    <row r="6" spans="2:8" ht="15.75" customHeight="1" x14ac:dyDescent="0.2">
      <c r="B6" s="7" t="s">
        <v>43</v>
      </c>
      <c r="C6" s="68">
        <f>SUM(C7)</f>
        <v>187769.05</v>
      </c>
      <c r="D6" s="68">
        <f t="shared" ref="D6:F7" si="0">SUM(D7)</f>
        <v>750033</v>
      </c>
      <c r="E6" s="68">
        <f t="shared" si="0"/>
        <v>750033</v>
      </c>
      <c r="F6" s="68">
        <f t="shared" si="0"/>
        <v>292094.11</v>
      </c>
      <c r="G6" s="88">
        <f>F6/C6*100</f>
        <v>155.56030666395765</v>
      </c>
      <c r="H6" s="88">
        <f>F6/E6*100</f>
        <v>38.944167789950576</v>
      </c>
    </row>
    <row r="7" spans="2:8" x14ac:dyDescent="0.2">
      <c r="B7" s="67" t="s">
        <v>234</v>
      </c>
      <c r="C7" s="69">
        <f>SUM(C8)</f>
        <v>187769.05</v>
      </c>
      <c r="D7" s="69">
        <f t="shared" si="0"/>
        <v>750033</v>
      </c>
      <c r="E7" s="69">
        <f t="shared" si="0"/>
        <v>750033</v>
      </c>
      <c r="F7" s="69">
        <f t="shared" si="0"/>
        <v>292094.11</v>
      </c>
      <c r="G7" s="70">
        <f t="shared" ref="G7:G8" si="1">F7/C7*100</f>
        <v>155.56030666395765</v>
      </c>
      <c r="H7" s="70">
        <f t="shared" ref="H7:H8" si="2">F7/E7*100</f>
        <v>38.944167789950576</v>
      </c>
    </row>
    <row r="8" spans="2:8" x14ac:dyDescent="0.2">
      <c r="B8" s="67" t="s">
        <v>233</v>
      </c>
      <c r="C8" s="69">
        <f>+SAŽETAK!G22</f>
        <v>187769.05</v>
      </c>
      <c r="D8" s="69">
        <f>+SAŽETAK!H22</f>
        <v>750033</v>
      </c>
      <c r="E8" s="69">
        <f>+SAŽETAK!I22</f>
        <v>750033</v>
      </c>
      <c r="F8" s="69">
        <f>+SAŽETAK!J22</f>
        <v>292094.11</v>
      </c>
      <c r="G8" s="70">
        <f t="shared" si="1"/>
        <v>155.56030666395765</v>
      </c>
      <c r="H8" s="70">
        <f t="shared" si="2"/>
        <v>38.944167789950576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4"/>
  <sheetViews>
    <sheetView workbookViewId="0">
      <selection activeCell="J8" sqref="J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10" t="s">
        <v>10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10" t="s">
        <v>48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2:12" ht="15.75" customHeight="1" x14ac:dyDescent="0.25">
      <c r="B5" s="110" t="s">
        <v>37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36" t="s">
        <v>6</v>
      </c>
      <c r="C7" s="137"/>
      <c r="D7" s="137"/>
      <c r="E7" s="137"/>
      <c r="F7" s="138"/>
      <c r="G7" s="22" t="s">
        <v>18</v>
      </c>
      <c r="H7" s="22" t="s">
        <v>267</v>
      </c>
      <c r="I7" s="22" t="s">
        <v>268</v>
      </c>
      <c r="J7" s="22" t="s">
        <v>272</v>
      </c>
      <c r="K7" s="22" t="s">
        <v>19</v>
      </c>
      <c r="L7" s="22" t="s">
        <v>45</v>
      </c>
    </row>
    <row r="8" spans="2:12" x14ac:dyDescent="0.25">
      <c r="B8" s="136">
        <v>1</v>
      </c>
      <c r="C8" s="137"/>
      <c r="D8" s="137"/>
      <c r="E8" s="137"/>
      <c r="F8" s="138"/>
      <c r="G8" s="23">
        <v>2</v>
      </c>
      <c r="H8" s="23">
        <v>3</v>
      </c>
      <c r="I8" s="23">
        <v>4</v>
      </c>
      <c r="J8" s="23">
        <v>5</v>
      </c>
      <c r="K8" s="23" t="s">
        <v>32</v>
      </c>
      <c r="L8" s="23" t="s">
        <v>33</v>
      </c>
    </row>
    <row r="9" spans="2:12" ht="25.5" x14ac:dyDescent="0.25">
      <c r="B9" s="7">
        <v>8</v>
      </c>
      <c r="C9" s="7"/>
      <c r="D9" s="7"/>
      <c r="E9" s="7"/>
      <c r="F9" s="7" t="s">
        <v>7</v>
      </c>
      <c r="G9" s="40">
        <v>0</v>
      </c>
      <c r="H9" s="40">
        <v>0</v>
      </c>
      <c r="I9" s="40">
        <v>0</v>
      </c>
      <c r="J9" s="41">
        <v>0</v>
      </c>
      <c r="K9" s="41">
        <v>0</v>
      </c>
      <c r="L9" s="41">
        <v>0</v>
      </c>
    </row>
    <row r="10" spans="2:12" ht="25.5" x14ac:dyDescent="0.25">
      <c r="B10" s="8">
        <v>5</v>
      </c>
      <c r="C10" s="8"/>
      <c r="D10" s="8"/>
      <c r="E10" s="8"/>
      <c r="F10" s="10" t="s">
        <v>8</v>
      </c>
      <c r="G10" s="5">
        <v>0</v>
      </c>
      <c r="H10" s="5">
        <v>0</v>
      </c>
      <c r="I10" s="5">
        <v>0</v>
      </c>
      <c r="J10" s="18">
        <v>0</v>
      </c>
      <c r="K10" s="18">
        <v>0</v>
      </c>
      <c r="L10" s="18">
        <v>0</v>
      </c>
    </row>
    <row r="12" spans="2:12" x14ac:dyDescent="0.2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2:12" x14ac:dyDescent="0.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2:12" x14ac:dyDescent="0.2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9"/>
  <sheetViews>
    <sheetView workbookViewId="0">
      <selection activeCell="G4" sqref="G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10" t="s">
        <v>38</v>
      </c>
      <c r="C2" s="110"/>
      <c r="D2" s="110"/>
      <c r="E2" s="110"/>
      <c r="F2" s="110"/>
      <c r="G2" s="110"/>
      <c r="H2" s="110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0" t="s">
        <v>6</v>
      </c>
      <c r="C4" s="20" t="s">
        <v>50</v>
      </c>
      <c r="D4" s="20" t="s">
        <v>267</v>
      </c>
      <c r="E4" s="20" t="s">
        <v>268</v>
      </c>
      <c r="F4" s="20" t="s">
        <v>269</v>
      </c>
      <c r="G4" s="20" t="s">
        <v>19</v>
      </c>
      <c r="H4" s="20" t="s">
        <v>45</v>
      </c>
    </row>
    <row r="5" spans="2:8" x14ac:dyDescent="0.25"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 t="s">
        <v>32</v>
      </c>
      <c r="H5" s="20" t="s">
        <v>33</v>
      </c>
    </row>
    <row r="6" spans="2:8" x14ac:dyDescent="0.25">
      <c r="B6" s="7" t="s">
        <v>40</v>
      </c>
      <c r="C6" s="5">
        <v>0</v>
      </c>
      <c r="D6" s="5">
        <v>0</v>
      </c>
      <c r="E6" s="6">
        <v>0</v>
      </c>
      <c r="F6" s="18">
        <v>0</v>
      </c>
      <c r="G6" s="18">
        <v>0</v>
      </c>
      <c r="H6" s="18">
        <v>0</v>
      </c>
    </row>
    <row r="7" spans="2:8" ht="15.75" customHeight="1" x14ac:dyDescent="0.25">
      <c r="B7" s="7" t="s">
        <v>41</v>
      </c>
      <c r="C7" s="5">
        <v>0</v>
      </c>
      <c r="D7" s="5">
        <v>0</v>
      </c>
      <c r="E7" s="6">
        <v>0</v>
      </c>
      <c r="F7" s="18">
        <v>0</v>
      </c>
      <c r="G7" s="18">
        <v>0</v>
      </c>
      <c r="H7" s="18">
        <v>0</v>
      </c>
    </row>
    <row r="9" spans="2:8" x14ac:dyDescent="0.25">
      <c r="B9" s="25"/>
      <c r="C9" s="25"/>
      <c r="D9" s="25"/>
      <c r="E9" s="25"/>
      <c r="F9" s="25"/>
      <c r="G9" s="25"/>
      <c r="H9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94"/>
  <sheetViews>
    <sheetView topLeftCell="B23" zoomScaleNormal="100" workbookViewId="0">
      <selection activeCell="E23" sqref="E23"/>
    </sheetView>
  </sheetViews>
  <sheetFormatPr defaultRowHeight="12.75" x14ac:dyDescent="0.2"/>
  <cols>
    <col min="1" max="1" width="9.140625" style="30"/>
    <col min="2" max="2" width="7.42578125" style="30" bestFit="1" customWidth="1"/>
    <col min="3" max="3" width="8.140625" style="30" customWidth="1"/>
    <col min="4" max="4" width="51.42578125" style="30" customWidth="1"/>
    <col min="5" max="7" width="24.28515625" style="30" customWidth="1"/>
    <col min="8" max="8" width="15.7109375" style="30" customWidth="1"/>
    <col min="9" max="9" width="9.140625" style="30"/>
    <col min="10" max="10" width="12" style="30" customWidth="1"/>
    <col min="11" max="11" width="9.7109375" style="30" bestFit="1" customWidth="1"/>
    <col min="12" max="16384" width="9.140625" style="30"/>
  </cols>
  <sheetData>
    <row r="1" spans="2:11" x14ac:dyDescent="0.2">
      <c r="B1" s="33"/>
      <c r="C1" s="33"/>
      <c r="D1" s="33"/>
      <c r="E1" s="33"/>
      <c r="F1" s="33"/>
      <c r="G1" s="33"/>
      <c r="H1" s="4"/>
    </row>
    <row r="2" spans="2:11" ht="18" customHeight="1" x14ac:dyDescent="0.2">
      <c r="B2" s="110" t="s">
        <v>9</v>
      </c>
      <c r="C2" s="110"/>
      <c r="D2" s="110"/>
      <c r="E2" s="110"/>
      <c r="F2" s="110"/>
      <c r="G2" s="110"/>
      <c r="H2" s="110"/>
    </row>
    <row r="3" spans="2:11" ht="15.75" x14ac:dyDescent="0.2">
      <c r="B3" s="24"/>
      <c r="C3" s="24"/>
      <c r="D3" s="24"/>
      <c r="E3" s="24"/>
      <c r="F3" s="24"/>
      <c r="G3" s="24"/>
      <c r="H3" s="16"/>
    </row>
    <row r="4" spans="2:11" ht="15.75" x14ac:dyDescent="0.25">
      <c r="B4" s="169" t="s">
        <v>53</v>
      </c>
      <c r="C4" s="169"/>
      <c r="D4" s="169"/>
      <c r="E4" s="169"/>
      <c r="F4" s="169"/>
      <c r="G4" s="169"/>
      <c r="H4" s="169"/>
    </row>
    <row r="5" spans="2:11" x14ac:dyDescent="0.2">
      <c r="B5" s="33"/>
      <c r="C5" s="33"/>
      <c r="D5" s="33"/>
      <c r="E5" s="33"/>
      <c r="F5" s="33"/>
      <c r="G5" s="33"/>
      <c r="H5" s="4"/>
    </row>
    <row r="6" spans="2:11" ht="25.5" x14ac:dyDescent="0.2">
      <c r="B6" s="170" t="s">
        <v>6</v>
      </c>
      <c r="C6" s="171"/>
      <c r="D6" s="172"/>
      <c r="E6" s="76" t="s">
        <v>267</v>
      </c>
      <c r="F6" s="76" t="s">
        <v>268</v>
      </c>
      <c r="G6" s="76" t="s">
        <v>273</v>
      </c>
      <c r="H6" s="76" t="s">
        <v>45</v>
      </c>
    </row>
    <row r="7" spans="2:11" x14ac:dyDescent="0.2">
      <c r="B7" s="170">
        <v>1</v>
      </c>
      <c r="C7" s="171"/>
      <c r="D7" s="172"/>
      <c r="E7" s="76">
        <v>2</v>
      </c>
      <c r="F7" s="76">
        <v>3</v>
      </c>
      <c r="G7" s="76">
        <v>4</v>
      </c>
      <c r="H7" s="76" t="s">
        <v>39</v>
      </c>
    </row>
    <row r="8" spans="2:11" ht="15" x14ac:dyDescent="0.2">
      <c r="B8" s="165">
        <v>7715</v>
      </c>
      <c r="C8" s="166"/>
      <c r="D8" s="89" t="s">
        <v>256</v>
      </c>
      <c r="E8" s="55">
        <f>E9</f>
        <v>750033</v>
      </c>
      <c r="F8" s="55">
        <f>F9</f>
        <v>750033</v>
      </c>
      <c r="G8" s="55">
        <f>G9</f>
        <v>292094.11000000004</v>
      </c>
      <c r="H8" s="55">
        <f>H9</f>
        <v>38.944167789950576</v>
      </c>
    </row>
    <row r="9" spans="2:11" ht="28.5" customHeight="1" x14ac:dyDescent="0.2">
      <c r="B9" s="167">
        <v>26539</v>
      </c>
      <c r="C9" s="168"/>
      <c r="D9" s="75" t="s">
        <v>263</v>
      </c>
      <c r="E9" s="42">
        <f>E10+E12+E14+E16+E18+E20</f>
        <v>750033</v>
      </c>
      <c r="F9" s="42">
        <f t="shared" ref="F9" si="0">F10+F12+F14+F16+F18+F20</f>
        <v>750033</v>
      </c>
      <c r="G9" s="42">
        <f>G10+G12+G14+G16+G18+G20</f>
        <v>292094.11000000004</v>
      </c>
      <c r="H9" s="43">
        <f>G9/F9*100</f>
        <v>38.944167789950576</v>
      </c>
      <c r="I9" s="94"/>
      <c r="J9" s="94"/>
    </row>
    <row r="10" spans="2:11" ht="15.75" customHeight="1" x14ac:dyDescent="0.2">
      <c r="B10" s="163" t="s">
        <v>235</v>
      </c>
      <c r="C10" s="164"/>
      <c r="D10" s="75" t="s">
        <v>236</v>
      </c>
      <c r="E10" s="42">
        <f>E11</f>
        <v>517745</v>
      </c>
      <c r="F10" s="42">
        <f t="shared" ref="F10" si="1">F11</f>
        <v>517745</v>
      </c>
      <c r="G10" s="42">
        <f>G11</f>
        <v>254442.26</v>
      </c>
      <c r="H10" s="43">
        <f t="shared" ref="H10:H73" si="2">G10/F10*100</f>
        <v>49.144320080348436</v>
      </c>
      <c r="I10" s="94"/>
    </row>
    <row r="11" spans="2:11" ht="15.75" customHeight="1" x14ac:dyDescent="0.2">
      <c r="B11" s="155" t="s">
        <v>237</v>
      </c>
      <c r="C11" s="156"/>
      <c r="D11" s="73" t="s">
        <v>252</v>
      </c>
      <c r="E11" s="71">
        <f>E26+E57</f>
        <v>517745</v>
      </c>
      <c r="F11" s="71">
        <f>F26+F57</f>
        <v>517745</v>
      </c>
      <c r="G11" s="71">
        <f>G26+G55</f>
        <v>254442.26</v>
      </c>
      <c r="H11" s="72">
        <f t="shared" si="2"/>
        <v>49.144320080348436</v>
      </c>
      <c r="I11" s="94"/>
      <c r="K11" s="94"/>
    </row>
    <row r="12" spans="2:11" ht="15.75" customHeight="1" x14ac:dyDescent="0.2">
      <c r="B12" s="167" t="s">
        <v>239</v>
      </c>
      <c r="C12" s="173"/>
      <c r="D12" s="75" t="s">
        <v>238</v>
      </c>
      <c r="E12" s="42">
        <f>E13</f>
        <v>40000</v>
      </c>
      <c r="F12" s="42">
        <f t="shared" ref="F12" si="3">F13</f>
        <v>40000</v>
      </c>
      <c r="G12" s="42">
        <f>G13</f>
        <v>27943.689999999995</v>
      </c>
      <c r="H12" s="43">
        <f t="shared" si="2"/>
        <v>69.859224999999995</v>
      </c>
      <c r="I12" s="94"/>
      <c r="J12" s="94"/>
    </row>
    <row r="13" spans="2:11" ht="15.75" customHeight="1" x14ac:dyDescent="0.2">
      <c r="B13" s="174" t="s">
        <v>240</v>
      </c>
      <c r="C13" s="175"/>
      <c r="D13" s="78" t="s">
        <v>238</v>
      </c>
      <c r="E13" s="71">
        <f>E63</f>
        <v>40000</v>
      </c>
      <c r="F13" s="71">
        <f t="shared" ref="F13:G13" si="4">F63</f>
        <v>40000</v>
      </c>
      <c r="G13" s="71">
        <f t="shared" si="4"/>
        <v>27943.689999999995</v>
      </c>
      <c r="H13" s="72">
        <f t="shared" si="2"/>
        <v>69.859224999999995</v>
      </c>
      <c r="I13" s="94"/>
    </row>
    <row r="14" spans="2:11" ht="16.5" customHeight="1" x14ac:dyDescent="0.2">
      <c r="B14" s="167" t="s">
        <v>241</v>
      </c>
      <c r="C14" s="173"/>
      <c r="D14" s="7" t="s">
        <v>145</v>
      </c>
      <c r="E14" s="42">
        <f>E15</f>
        <v>9060</v>
      </c>
      <c r="F14" s="42">
        <f t="shared" ref="F14:G14" si="5">F15</f>
        <v>9060</v>
      </c>
      <c r="G14" s="42">
        <f t="shared" si="5"/>
        <v>402.08</v>
      </c>
      <c r="H14" s="43">
        <f t="shared" si="2"/>
        <v>4.4379690949227371</v>
      </c>
      <c r="I14" s="94"/>
    </row>
    <row r="15" spans="2:11" ht="15.75" customHeight="1" x14ac:dyDescent="0.2">
      <c r="B15" s="174" t="s">
        <v>264</v>
      </c>
      <c r="C15" s="175"/>
      <c r="D15" s="9" t="s">
        <v>253</v>
      </c>
      <c r="E15" s="71">
        <f>E79</f>
        <v>9060</v>
      </c>
      <c r="F15" s="71">
        <f t="shared" ref="F15:G15" si="6">F79</f>
        <v>9060</v>
      </c>
      <c r="G15" s="71">
        <f t="shared" si="6"/>
        <v>402.08</v>
      </c>
      <c r="H15" s="72">
        <f t="shared" si="2"/>
        <v>4.4379690949227371</v>
      </c>
      <c r="I15" s="94"/>
    </row>
    <row r="16" spans="2:11" ht="15.75" customHeight="1" x14ac:dyDescent="0.2">
      <c r="B16" s="167" t="s">
        <v>242</v>
      </c>
      <c r="C16" s="173"/>
      <c r="D16" s="75" t="s">
        <v>248</v>
      </c>
      <c r="E16" s="42">
        <f>E17</f>
        <v>183228</v>
      </c>
      <c r="F16" s="42">
        <f t="shared" ref="F16:G16" si="7">F17</f>
        <v>183228</v>
      </c>
      <c r="G16" s="42">
        <f t="shared" si="7"/>
        <v>9306.08</v>
      </c>
      <c r="H16" s="43">
        <f t="shared" si="2"/>
        <v>5.0789617307398434</v>
      </c>
      <c r="I16" s="94"/>
    </row>
    <row r="17" spans="2:10" ht="15.75" customHeight="1" x14ac:dyDescent="0.2">
      <c r="B17" s="174" t="s">
        <v>243</v>
      </c>
      <c r="C17" s="175"/>
      <c r="D17" s="73" t="s">
        <v>254</v>
      </c>
      <c r="E17" s="71">
        <f>E85</f>
        <v>183228</v>
      </c>
      <c r="F17" s="71">
        <f t="shared" ref="F17:G17" si="8">F85</f>
        <v>183228</v>
      </c>
      <c r="G17" s="71">
        <f t="shared" si="8"/>
        <v>9306.08</v>
      </c>
      <c r="H17" s="72">
        <f t="shared" si="2"/>
        <v>5.0789617307398434</v>
      </c>
      <c r="I17" s="94"/>
    </row>
    <row r="18" spans="2:10" ht="15.75" customHeight="1" x14ac:dyDescent="0.2">
      <c r="B18" s="163" t="s">
        <v>244</v>
      </c>
      <c r="C18" s="164"/>
      <c r="D18" s="75" t="s">
        <v>249</v>
      </c>
      <c r="E18" s="42">
        <f>E19</f>
        <v>0</v>
      </c>
      <c r="F18" s="42">
        <f t="shared" ref="F18:G18" si="9">F19</f>
        <v>0</v>
      </c>
      <c r="G18" s="42">
        <f t="shared" si="9"/>
        <v>0</v>
      </c>
      <c r="H18" s="43" t="e">
        <f t="shared" si="2"/>
        <v>#DIV/0!</v>
      </c>
      <c r="I18" s="94"/>
    </row>
    <row r="19" spans="2:10" ht="15.75" customHeight="1" x14ac:dyDescent="0.2">
      <c r="B19" s="155" t="s">
        <v>245</v>
      </c>
      <c r="C19" s="156"/>
      <c r="D19" s="73" t="s">
        <v>255</v>
      </c>
      <c r="E19" s="71">
        <v>0</v>
      </c>
      <c r="F19" s="71">
        <v>0</v>
      </c>
      <c r="G19" s="71">
        <v>0</v>
      </c>
      <c r="H19" s="72" t="e">
        <f t="shared" si="2"/>
        <v>#DIV/0!</v>
      </c>
      <c r="I19" s="94"/>
    </row>
    <row r="20" spans="2:10" ht="15.75" customHeight="1" x14ac:dyDescent="0.2">
      <c r="B20" s="153" t="s">
        <v>246</v>
      </c>
      <c r="C20" s="154"/>
      <c r="D20" s="74" t="s">
        <v>250</v>
      </c>
      <c r="E20" s="42">
        <f>+E21</f>
        <v>0</v>
      </c>
      <c r="F20" s="42">
        <f t="shared" ref="F20:G20" si="10">F21</f>
        <v>0</v>
      </c>
      <c r="G20" s="42">
        <f t="shared" si="10"/>
        <v>0</v>
      </c>
      <c r="H20" s="43" t="e">
        <f t="shared" si="2"/>
        <v>#DIV/0!</v>
      </c>
      <c r="I20" s="94"/>
    </row>
    <row r="21" spans="2:10" ht="15.75" customHeight="1" x14ac:dyDescent="0.2">
      <c r="B21" s="155" t="s">
        <v>247</v>
      </c>
      <c r="C21" s="156"/>
      <c r="D21" s="77" t="s">
        <v>250</v>
      </c>
      <c r="E21" s="71">
        <v>0</v>
      </c>
      <c r="F21" s="71">
        <v>0</v>
      </c>
      <c r="G21" s="71">
        <v>0</v>
      </c>
      <c r="H21" s="72" t="e">
        <f t="shared" si="2"/>
        <v>#DIV/0!</v>
      </c>
      <c r="I21" s="94"/>
    </row>
    <row r="22" spans="2:10" ht="15.75" customHeight="1" x14ac:dyDescent="0.25">
      <c r="B22" s="140" t="s">
        <v>251</v>
      </c>
      <c r="C22" s="157"/>
      <c r="D22" s="158"/>
      <c r="E22" s="79">
        <f>+E23</f>
        <v>517745</v>
      </c>
      <c r="F22" s="79">
        <f>F23</f>
        <v>517745</v>
      </c>
      <c r="G22" s="79">
        <f>G23</f>
        <v>254442.26</v>
      </c>
      <c r="H22" s="43">
        <f t="shared" si="2"/>
        <v>49.144320080348436</v>
      </c>
      <c r="I22" s="94"/>
    </row>
    <row r="23" spans="2:10" ht="14.25" customHeight="1" x14ac:dyDescent="0.2">
      <c r="B23" s="140" t="s">
        <v>102</v>
      </c>
      <c r="C23" s="159"/>
      <c r="D23" s="160"/>
      <c r="E23" s="42">
        <f>E24+E55</f>
        <v>517745</v>
      </c>
      <c r="F23" s="42">
        <f>F24+F55</f>
        <v>517745</v>
      </c>
      <c r="G23" s="42">
        <f>G24+G55</f>
        <v>254442.26</v>
      </c>
      <c r="H23" s="43">
        <f t="shared" si="2"/>
        <v>49.144320080348436</v>
      </c>
      <c r="I23" s="94"/>
    </row>
    <row r="24" spans="2:10" ht="15.75" customHeight="1" x14ac:dyDescent="0.2">
      <c r="B24" s="148" t="s">
        <v>103</v>
      </c>
      <c r="C24" s="161"/>
      <c r="D24" s="150"/>
      <c r="E24" s="80">
        <f>+E25</f>
        <v>497745</v>
      </c>
      <c r="F24" s="80">
        <f>+F25</f>
        <v>497745</v>
      </c>
      <c r="G24" s="80">
        <f>+G25</f>
        <v>244442.26</v>
      </c>
      <c r="H24" s="81">
        <f t="shared" si="2"/>
        <v>49.109937819566248</v>
      </c>
      <c r="I24" s="94"/>
      <c r="J24" s="94"/>
    </row>
    <row r="25" spans="2:10" ht="15.75" customHeight="1" x14ac:dyDescent="0.2">
      <c r="B25" s="140" t="s">
        <v>104</v>
      </c>
      <c r="C25" s="162"/>
      <c r="D25" s="142"/>
      <c r="E25" s="42">
        <f>+E26</f>
        <v>497745</v>
      </c>
      <c r="F25" s="42">
        <f>+F26</f>
        <v>497745</v>
      </c>
      <c r="G25" s="42">
        <f t="shared" ref="G25" si="11">+G26</f>
        <v>244442.26</v>
      </c>
      <c r="H25" s="43">
        <f t="shared" si="2"/>
        <v>49.109937819566248</v>
      </c>
      <c r="I25" s="94"/>
    </row>
    <row r="26" spans="2:10" ht="15.75" customHeight="1" x14ac:dyDescent="0.2">
      <c r="B26" s="140" t="s">
        <v>105</v>
      </c>
      <c r="C26" s="162"/>
      <c r="D26" s="142"/>
      <c r="E26" s="42">
        <f>E27+E31+E53</f>
        <v>497745</v>
      </c>
      <c r="F26" s="42">
        <f t="shared" ref="F26" si="12">F27+F31+F53</f>
        <v>497745</v>
      </c>
      <c r="G26" s="42">
        <f>G27+G31+G53</f>
        <v>244442.26</v>
      </c>
      <c r="H26" s="43">
        <f t="shared" si="2"/>
        <v>49.109937819566248</v>
      </c>
      <c r="I26" s="94"/>
    </row>
    <row r="27" spans="2:10" ht="15.75" customHeight="1" x14ac:dyDescent="0.2">
      <c r="B27" s="140" t="s">
        <v>106</v>
      </c>
      <c r="C27" s="162"/>
      <c r="D27" s="142"/>
      <c r="E27" s="42">
        <f>E28+E29+E30</f>
        <v>339745</v>
      </c>
      <c r="F27" s="42">
        <f t="shared" ref="F27:G27" si="13">F28+F29+F30</f>
        <v>339745</v>
      </c>
      <c r="G27" s="42">
        <f t="shared" si="13"/>
        <v>174802.31</v>
      </c>
      <c r="H27" s="43">
        <f t="shared" si="2"/>
        <v>51.451032391941013</v>
      </c>
      <c r="I27" s="94"/>
    </row>
    <row r="28" spans="2:10" ht="15.75" customHeight="1" x14ac:dyDescent="0.2">
      <c r="B28" s="143" t="s">
        <v>107</v>
      </c>
      <c r="C28" s="151"/>
      <c r="D28" s="152"/>
      <c r="E28" s="71">
        <v>282745</v>
      </c>
      <c r="F28" s="71">
        <v>282745</v>
      </c>
      <c r="G28" s="71">
        <f>115047.57+29719.01</f>
        <v>144766.58000000002</v>
      </c>
      <c r="H28" s="72">
        <f t="shared" si="2"/>
        <v>51.200403190153679</v>
      </c>
      <c r="I28" s="94"/>
    </row>
    <row r="29" spans="2:10" ht="15.75" customHeight="1" x14ac:dyDescent="0.2">
      <c r="B29" s="143" t="s">
        <v>108</v>
      </c>
      <c r="C29" s="151"/>
      <c r="D29" s="152"/>
      <c r="E29" s="71">
        <v>12000</v>
      </c>
      <c r="F29" s="71">
        <v>12000</v>
      </c>
      <c r="G29" s="71">
        <f>2549.3+3600</f>
        <v>6149.3</v>
      </c>
      <c r="H29" s="72">
        <f t="shared" si="2"/>
        <v>51.244166666666672</v>
      </c>
      <c r="I29" s="94"/>
    </row>
    <row r="30" spans="2:10" ht="15.75" customHeight="1" x14ac:dyDescent="0.2">
      <c r="B30" s="143" t="s">
        <v>109</v>
      </c>
      <c r="C30" s="151"/>
      <c r="D30" s="152"/>
      <c r="E30" s="71">
        <v>45000</v>
      </c>
      <c r="F30" s="71">
        <v>45000</v>
      </c>
      <c r="G30" s="71">
        <f>18982.8+4903.63</f>
        <v>23886.43</v>
      </c>
      <c r="H30" s="72">
        <f t="shared" si="2"/>
        <v>53.080955555555555</v>
      </c>
      <c r="I30" s="94"/>
    </row>
    <row r="31" spans="2:10" ht="15.75" customHeight="1" x14ac:dyDescent="0.2">
      <c r="B31" s="140" t="s">
        <v>110</v>
      </c>
      <c r="C31" s="141"/>
      <c r="D31" s="142"/>
      <c r="E31" s="42">
        <f>E32+E33+E34+E35+E36+E37+E38+E39+E40+E41+E42+E43+E44+E45+E46+E47+E48+E49+E50+E51+E52</f>
        <v>156000</v>
      </c>
      <c r="F31" s="42">
        <f>F32+F33+F34+F35+F36+F37+F38+F39+F40+F41+F42+F43+F44+F45+F46+F47+F48+F49+F50+F51+F52</f>
        <v>156000</v>
      </c>
      <c r="G31" s="42">
        <f t="shared" ref="G31" si="14">G32+G33+G34+G35+G36+G37+G38+G39+G40+G41+G42+G43+G44+G45+G46+G47+G48+G49+G50+G51+G52</f>
        <v>68639.95</v>
      </c>
      <c r="H31" s="43">
        <f t="shared" si="2"/>
        <v>43.999967948717952</v>
      </c>
      <c r="I31" s="94"/>
    </row>
    <row r="32" spans="2:10" ht="15.75" customHeight="1" x14ac:dyDescent="0.2">
      <c r="B32" s="143" t="s">
        <v>111</v>
      </c>
      <c r="C32" s="144"/>
      <c r="D32" s="145"/>
      <c r="E32" s="71">
        <v>3000</v>
      </c>
      <c r="F32" s="71">
        <v>3000</v>
      </c>
      <c r="G32" s="71">
        <v>1500</v>
      </c>
      <c r="H32" s="72">
        <f t="shared" si="2"/>
        <v>50</v>
      </c>
      <c r="I32" s="94"/>
    </row>
    <row r="33" spans="2:9" ht="15.75" customHeight="1" x14ac:dyDescent="0.2">
      <c r="B33" s="143" t="s">
        <v>112</v>
      </c>
      <c r="C33" s="144"/>
      <c r="D33" s="145"/>
      <c r="E33" s="71">
        <v>35000</v>
      </c>
      <c r="F33" s="71">
        <v>35000</v>
      </c>
      <c r="G33" s="71">
        <f>6790.78+1349.17</f>
        <v>8139.95</v>
      </c>
      <c r="H33" s="72">
        <f t="shared" si="2"/>
        <v>23.257000000000001</v>
      </c>
      <c r="I33" s="94"/>
    </row>
    <row r="34" spans="2:9" ht="15.75" customHeight="1" x14ac:dyDescent="0.2">
      <c r="B34" s="143" t="s">
        <v>113</v>
      </c>
      <c r="C34" s="144"/>
      <c r="D34" s="145"/>
      <c r="E34" s="71">
        <v>1000</v>
      </c>
      <c r="F34" s="71">
        <v>1000</v>
      </c>
      <c r="G34" s="71">
        <v>500</v>
      </c>
      <c r="H34" s="72">
        <f t="shared" si="2"/>
        <v>50</v>
      </c>
      <c r="I34" s="94"/>
    </row>
    <row r="35" spans="2:9" ht="15.75" customHeight="1" x14ac:dyDescent="0.2">
      <c r="B35" s="143" t="s">
        <v>114</v>
      </c>
      <c r="C35" s="144"/>
      <c r="D35" s="145"/>
      <c r="E35" s="71">
        <v>4300</v>
      </c>
      <c r="F35" s="71">
        <v>4300</v>
      </c>
      <c r="G35" s="71">
        <v>2150</v>
      </c>
      <c r="H35" s="72">
        <f t="shared" si="2"/>
        <v>50</v>
      </c>
      <c r="I35" s="94"/>
    </row>
    <row r="36" spans="2:9" ht="15.75" customHeight="1" x14ac:dyDescent="0.2">
      <c r="B36" s="143" t="s">
        <v>115</v>
      </c>
      <c r="C36" s="144"/>
      <c r="D36" s="145"/>
      <c r="E36" s="71">
        <v>34000</v>
      </c>
      <c r="F36" s="71">
        <v>34000</v>
      </c>
      <c r="G36" s="71">
        <v>17000</v>
      </c>
      <c r="H36" s="72">
        <f t="shared" si="2"/>
        <v>50</v>
      </c>
      <c r="I36" s="94"/>
    </row>
    <row r="37" spans="2:9" ht="15.75" customHeight="1" x14ac:dyDescent="0.2">
      <c r="B37" s="143" t="s">
        <v>116</v>
      </c>
      <c r="C37" s="144"/>
      <c r="D37" s="145"/>
      <c r="E37" s="71">
        <v>5000</v>
      </c>
      <c r="F37" s="71">
        <v>5000</v>
      </c>
      <c r="G37" s="71">
        <v>2500</v>
      </c>
      <c r="H37" s="72">
        <f t="shared" si="2"/>
        <v>50</v>
      </c>
      <c r="I37" s="94"/>
    </row>
    <row r="38" spans="2:9" ht="15.75" customHeight="1" x14ac:dyDescent="0.2">
      <c r="B38" s="143" t="s">
        <v>117</v>
      </c>
      <c r="C38" s="144"/>
      <c r="D38" s="145"/>
      <c r="E38" s="71">
        <v>5000</v>
      </c>
      <c r="F38" s="71">
        <v>5000</v>
      </c>
      <c r="G38" s="71">
        <v>2500</v>
      </c>
      <c r="H38" s="72">
        <f t="shared" si="2"/>
        <v>50</v>
      </c>
      <c r="I38" s="94"/>
    </row>
    <row r="39" spans="2:9" ht="15.75" customHeight="1" x14ac:dyDescent="0.2">
      <c r="B39" s="143" t="s">
        <v>118</v>
      </c>
      <c r="C39" s="144"/>
      <c r="D39" s="145"/>
      <c r="E39" s="71">
        <v>3000</v>
      </c>
      <c r="F39" s="71">
        <v>3000</v>
      </c>
      <c r="G39" s="71">
        <v>1500</v>
      </c>
      <c r="H39" s="72">
        <f t="shared" si="2"/>
        <v>50</v>
      </c>
      <c r="I39" s="94"/>
    </row>
    <row r="40" spans="2:9" ht="15.75" customHeight="1" x14ac:dyDescent="0.2">
      <c r="B40" s="143" t="s">
        <v>119</v>
      </c>
      <c r="C40" s="144"/>
      <c r="D40" s="145"/>
      <c r="E40" s="71">
        <v>7000</v>
      </c>
      <c r="F40" s="71">
        <v>7000</v>
      </c>
      <c r="G40" s="71">
        <v>3500</v>
      </c>
      <c r="H40" s="72">
        <f t="shared" si="2"/>
        <v>50</v>
      </c>
      <c r="I40" s="94"/>
    </row>
    <row r="41" spans="2:9" ht="15.75" customHeight="1" x14ac:dyDescent="0.2">
      <c r="B41" s="143" t="s">
        <v>120</v>
      </c>
      <c r="C41" s="144"/>
      <c r="D41" s="145"/>
      <c r="E41" s="71">
        <v>19000</v>
      </c>
      <c r="F41" s="71">
        <v>19000</v>
      </c>
      <c r="G41" s="71">
        <v>9500</v>
      </c>
      <c r="H41" s="72">
        <f t="shared" si="2"/>
        <v>50</v>
      </c>
      <c r="I41" s="94"/>
    </row>
    <row r="42" spans="2:9" ht="15.75" customHeight="1" x14ac:dyDescent="0.2">
      <c r="B42" s="143" t="s">
        <v>121</v>
      </c>
      <c r="C42" s="144"/>
      <c r="D42" s="145"/>
      <c r="E42" s="71">
        <v>5000</v>
      </c>
      <c r="F42" s="71">
        <v>5000</v>
      </c>
      <c r="G42" s="71">
        <v>2500</v>
      </c>
      <c r="H42" s="72">
        <f t="shared" si="2"/>
        <v>50</v>
      </c>
      <c r="I42" s="94"/>
    </row>
    <row r="43" spans="2:9" ht="15.75" customHeight="1" x14ac:dyDescent="0.2">
      <c r="B43" s="143" t="s">
        <v>122</v>
      </c>
      <c r="C43" s="144"/>
      <c r="D43" s="145"/>
      <c r="E43" s="71">
        <v>2000</v>
      </c>
      <c r="F43" s="71">
        <v>2000</v>
      </c>
      <c r="G43" s="71">
        <v>1000</v>
      </c>
      <c r="H43" s="72">
        <f t="shared" si="2"/>
        <v>50</v>
      </c>
      <c r="I43" s="94"/>
    </row>
    <row r="44" spans="2:9" ht="15.75" customHeight="1" x14ac:dyDescent="0.2">
      <c r="B44" s="143" t="s">
        <v>123</v>
      </c>
      <c r="C44" s="144"/>
      <c r="D44" s="145"/>
      <c r="E44" s="71">
        <v>1000</v>
      </c>
      <c r="F44" s="71">
        <v>1000</v>
      </c>
      <c r="G44" s="71">
        <v>500</v>
      </c>
      <c r="H44" s="72">
        <f t="shared" si="2"/>
        <v>50</v>
      </c>
      <c r="I44" s="94"/>
    </row>
    <row r="45" spans="2:9" ht="15.75" customHeight="1" x14ac:dyDescent="0.2">
      <c r="B45" s="143" t="s">
        <v>124</v>
      </c>
      <c r="C45" s="144"/>
      <c r="D45" s="145"/>
      <c r="E45" s="71">
        <v>0</v>
      </c>
      <c r="F45" s="71">
        <v>0</v>
      </c>
      <c r="G45" s="71">
        <v>0</v>
      </c>
      <c r="H45" s="72" t="e">
        <f t="shared" si="2"/>
        <v>#DIV/0!</v>
      </c>
      <c r="I45" s="94"/>
    </row>
    <row r="46" spans="2:9" ht="15.75" customHeight="1" x14ac:dyDescent="0.2">
      <c r="B46" s="143" t="s">
        <v>125</v>
      </c>
      <c r="C46" s="144"/>
      <c r="D46" s="145"/>
      <c r="E46" s="71">
        <v>1000</v>
      </c>
      <c r="F46" s="71">
        <v>1000</v>
      </c>
      <c r="G46" s="71">
        <v>500</v>
      </c>
      <c r="H46" s="72">
        <f t="shared" si="2"/>
        <v>50</v>
      </c>
      <c r="I46" s="94"/>
    </row>
    <row r="47" spans="2:9" ht="15.75" customHeight="1" x14ac:dyDescent="0.2">
      <c r="B47" s="143" t="s">
        <v>126</v>
      </c>
      <c r="C47" s="144"/>
      <c r="D47" s="145"/>
      <c r="E47" s="71">
        <v>10000</v>
      </c>
      <c r="F47" s="71">
        <v>10000</v>
      </c>
      <c r="G47" s="71">
        <v>5000</v>
      </c>
      <c r="H47" s="72">
        <f t="shared" si="2"/>
        <v>50</v>
      </c>
      <c r="I47" s="94"/>
    </row>
    <row r="48" spans="2:9" ht="15.75" customHeight="1" x14ac:dyDescent="0.2">
      <c r="B48" s="143" t="s">
        <v>127</v>
      </c>
      <c r="C48" s="144"/>
      <c r="D48" s="145"/>
      <c r="E48" s="71">
        <v>5000</v>
      </c>
      <c r="F48" s="71">
        <v>5000</v>
      </c>
      <c r="G48" s="71">
        <v>2500</v>
      </c>
      <c r="H48" s="72">
        <f t="shared" si="2"/>
        <v>50</v>
      </c>
      <c r="I48" s="94"/>
    </row>
    <row r="49" spans="2:10" ht="25.5" customHeight="1" x14ac:dyDescent="0.2">
      <c r="B49" s="143" t="s">
        <v>128</v>
      </c>
      <c r="C49" s="144"/>
      <c r="D49" s="145"/>
      <c r="E49" s="71">
        <v>9000</v>
      </c>
      <c r="F49" s="71">
        <v>9000</v>
      </c>
      <c r="G49" s="71">
        <v>4500</v>
      </c>
      <c r="H49" s="72">
        <f t="shared" si="2"/>
        <v>50</v>
      </c>
      <c r="I49" s="94"/>
    </row>
    <row r="50" spans="2:10" ht="15.75" customHeight="1" x14ac:dyDescent="0.2">
      <c r="B50" s="143" t="s">
        <v>129</v>
      </c>
      <c r="C50" s="144"/>
      <c r="D50" s="145"/>
      <c r="E50" s="71">
        <v>5000</v>
      </c>
      <c r="F50" s="71">
        <v>5000</v>
      </c>
      <c r="G50" s="71">
        <v>2500</v>
      </c>
      <c r="H50" s="72">
        <f t="shared" si="2"/>
        <v>50</v>
      </c>
      <c r="I50" s="94"/>
    </row>
    <row r="51" spans="2:10" ht="15.75" customHeight="1" x14ac:dyDescent="0.2">
      <c r="B51" s="143" t="s">
        <v>130</v>
      </c>
      <c r="C51" s="144"/>
      <c r="D51" s="145"/>
      <c r="E51" s="71">
        <v>700</v>
      </c>
      <c r="F51" s="71">
        <v>700</v>
      </c>
      <c r="G51" s="71">
        <v>350</v>
      </c>
      <c r="H51" s="72">
        <f t="shared" si="2"/>
        <v>50</v>
      </c>
      <c r="I51" s="94"/>
    </row>
    <row r="52" spans="2:10" ht="15.75" customHeight="1" x14ac:dyDescent="0.2">
      <c r="B52" s="143" t="s">
        <v>142</v>
      </c>
      <c r="C52" s="144"/>
      <c r="D52" s="145"/>
      <c r="E52" s="71">
        <v>1000</v>
      </c>
      <c r="F52" s="71">
        <v>1000</v>
      </c>
      <c r="G52" s="71">
        <v>500</v>
      </c>
      <c r="H52" s="72">
        <f t="shared" si="2"/>
        <v>50</v>
      </c>
      <c r="I52" s="94"/>
    </row>
    <row r="53" spans="2:10" ht="15.75" customHeight="1" x14ac:dyDescent="0.2">
      <c r="B53" s="140" t="s">
        <v>131</v>
      </c>
      <c r="C53" s="141"/>
      <c r="D53" s="142"/>
      <c r="E53" s="42">
        <f>+E54</f>
        <v>2000</v>
      </c>
      <c r="F53" s="42">
        <f t="shared" ref="F53:G53" si="15">+F54</f>
        <v>2000</v>
      </c>
      <c r="G53" s="42">
        <f t="shared" si="15"/>
        <v>1000</v>
      </c>
      <c r="H53" s="43">
        <f t="shared" si="2"/>
        <v>50</v>
      </c>
      <c r="I53" s="94"/>
    </row>
    <row r="54" spans="2:10" ht="15.75" customHeight="1" x14ac:dyDescent="0.2">
      <c r="B54" s="143" t="s">
        <v>132</v>
      </c>
      <c r="C54" s="144"/>
      <c r="D54" s="145"/>
      <c r="E54" s="71">
        <v>2000</v>
      </c>
      <c r="F54" s="71">
        <v>2000</v>
      </c>
      <c r="G54" s="71">
        <v>1000</v>
      </c>
      <c r="H54" s="72">
        <f t="shared" si="2"/>
        <v>50</v>
      </c>
      <c r="I54" s="94"/>
    </row>
    <row r="55" spans="2:10" ht="15.75" customHeight="1" x14ac:dyDescent="0.2">
      <c r="B55" s="148" t="s">
        <v>133</v>
      </c>
      <c r="C55" s="149"/>
      <c r="D55" s="150"/>
      <c r="E55" s="80">
        <f>+E56</f>
        <v>20000</v>
      </c>
      <c r="F55" s="80">
        <f t="shared" ref="F55:F57" si="16">+F56</f>
        <v>20000</v>
      </c>
      <c r="G55" s="80">
        <f>+G56</f>
        <v>10000</v>
      </c>
      <c r="H55" s="81">
        <f t="shared" si="2"/>
        <v>50</v>
      </c>
      <c r="I55" s="94"/>
    </row>
    <row r="56" spans="2:10" ht="15.75" customHeight="1" x14ac:dyDescent="0.2">
      <c r="B56" s="140" t="s">
        <v>104</v>
      </c>
      <c r="C56" s="141"/>
      <c r="D56" s="142"/>
      <c r="E56" s="42">
        <f>+E57</f>
        <v>20000</v>
      </c>
      <c r="F56" s="42">
        <f t="shared" si="16"/>
        <v>20000</v>
      </c>
      <c r="G56" s="42">
        <f>+G57</f>
        <v>10000</v>
      </c>
      <c r="H56" s="43">
        <f t="shared" si="2"/>
        <v>50</v>
      </c>
      <c r="I56" s="94"/>
    </row>
    <row r="57" spans="2:10" ht="15.75" customHeight="1" x14ac:dyDescent="0.2">
      <c r="B57" s="140" t="s">
        <v>105</v>
      </c>
      <c r="C57" s="141"/>
      <c r="D57" s="142"/>
      <c r="E57" s="42">
        <f>+E58</f>
        <v>20000</v>
      </c>
      <c r="F57" s="42">
        <f t="shared" si="16"/>
        <v>20000</v>
      </c>
      <c r="G57" s="42">
        <f>+G58</f>
        <v>10000</v>
      </c>
      <c r="H57" s="43">
        <f t="shared" si="2"/>
        <v>50</v>
      </c>
      <c r="I57" s="94"/>
    </row>
    <row r="58" spans="2:10" ht="15.75" customHeight="1" x14ac:dyDescent="0.2">
      <c r="B58" s="140" t="s">
        <v>110</v>
      </c>
      <c r="C58" s="141"/>
      <c r="D58" s="142"/>
      <c r="E58" s="42">
        <f>+E59+E60</f>
        <v>20000</v>
      </c>
      <c r="F58" s="42">
        <f t="shared" ref="F58:G58" si="17">+F59+F60</f>
        <v>20000</v>
      </c>
      <c r="G58" s="42">
        <f t="shared" si="17"/>
        <v>10000</v>
      </c>
      <c r="H58" s="43">
        <f t="shared" si="2"/>
        <v>50</v>
      </c>
      <c r="I58" s="94"/>
    </row>
    <row r="59" spans="2:10" ht="15.75" customHeight="1" x14ac:dyDescent="0.2">
      <c r="B59" s="143" t="s">
        <v>120</v>
      </c>
      <c r="C59" s="144"/>
      <c r="D59" s="145"/>
      <c r="E59" s="71">
        <v>17000</v>
      </c>
      <c r="F59" s="71">
        <v>17000</v>
      </c>
      <c r="G59" s="71">
        <v>8500</v>
      </c>
      <c r="H59" s="72">
        <f t="shared" si="2"/>
        <v>50</v>
      </c>
      <c r="I59" s="94"/>
    </row>
    <row r="60" spans="2:10" ht="15.75" customHeight="1" x14ac:dyDescent="0.2">
      <c r="B60" s="143" t="s">
        <v>125</v>
      </c>
      <c r="C60" s="144"/>
      <c r="D60" s="145"/>
      <c r="E60" s="71">
        <v>3000</v>
      </c>
      <c r="F60" s="71">
        <v>3000</v>
      </c>
      <c r="G60" s="71">
        <v>1500</v>
      </c>
      <c r="H60" s="72">
        <f t="shared" si="2"/>
        <v>50</v>
      </c>
      <c r="I60" s="94"/>
    </row>
    <row r="61" spans="2:10" ht="27.75" customHeight="1" x14ac:dyDescent="0.2">
      <c r="B61" s="148" t="s">
        <v>134</v>
      </c>
      <c r="C61" s="149"/>
      <c r="D61" s="150"/>
      <c r="E61" s="80">
        <f>+E62</f>
        <v>232288</v>
      </c>
      <c r="F61" s="80">
        <f t="shared" ref="F61" si="18">+F62</f>
        <v>232288</v>
      </c>
      <c r="G61" s="80">
        <f>+G62</f>
        <v>37651.85</v>
      </c>
      <c r="H61" s="81">
        <f t="shared" si="2"/>
        <v>16.209124018459843</v>
      </c>
      <c r="I61" s="94"/>
      <c r="J61" s="94"/>
    </row>
    <row r="62" spans="2:10" ht="15.75" customHeight="1" x14ac:dyDescent="0.2">
      <c r="B62" s="140" t="s">
        <v>135</v>
      </c>
      <c r="C62" s="141"/>
      <c r="D62" s="142"/>
      <c r="E62" s="42">
        <f>+E63+E78+E85</f>
        <v>232288</v>
      </c>
      <c r="F62" s="42">
        <f>+F63+F78+F85</f>
        <v>232288</v>
      </c>
      <c r="G62" s="42">
        <f>+G63+G78+G85</f>
        <v>37651.85</v>
      </c>
      <c r="H62" s="43">
        <f t="shared" si="2"/>
        <v>16.209124018459843</v>
      </c>
      <c r="I62" s="94"/>
    </row>
    <row r="63" spans="2:10" ht="15.75" customHeight="1" x14ac:dyDescent="0.2">
      <c r="B63" s="140" t="s">
        <v>136</v>
      </c>
      <c r="C63" s="141"/>
      <c r="D63" s="142"/>
      <c r="E63" s="42">
        <f>E64+E68</f>
        <v>40000</v>
      </c>
      <c r="F63" s="42">
        <f t="shared" ref="F63:G63" si="19">F64+F68</f>
        <v>40000</v>
      </c>
      <c r="G63" s="42">
        <f t="shared" si="19"/>
        <v>27943.689999999995</v>
      </c>
      <c r="H63" s="43">
        <f t="shared" si="2"/>
        <v>69.859224999999995</v>
      </c>
      <c r="I63" s="94"/>
    </row>
    <row r="64" spans="2:10" ht="15.75" customHeight="1" x14ac:dyDescent="0.2">
      <c r="B64" s="140" t="s">
        <v>106</v>
      </c>
      <c r="C64" s="141"/>
      <c r="D64" s="142"/>
      <c r="E64" s="42">
        <f>E65+E66+E67</f>
        <v>31000</v>
      </c>
      <c r="F64" s="42">
        <f t="shared" ref="F64:G64" si="20">F65+F66+F67</f>
        <v>31000</v>
      </c>
      <c r="G64" s="42">
        <f t="shared" si="20"/>
        <v>27943.689999999995</v>
      </c>
      <c r="H64" s="43">
        <f t="shared" si="2"/>
        <v>90.140935483870948</v>
      </c>
      <c r="I64" s="94"/>
    </row>
    <row r="65" spans="2:9" ht="15.75" customHeight="1" x14ac:dyDescent="0.2">
      <c r="B65" s="143" t="s">
        <v>107</v>
      </c>
      <c r="C65" s="144"/>
      <c r="D65" s="145"/>
      <c r="E65" s="71">
        <v>25000</v>
      </c>
      <c r="F65" s="71">
        <v>25000</v>
      </c>
      <c r="G65" s="71">
        <f>12288.3+3336.84</f>
        <v>15625.14</v>
      </c>
      <c r="H65" s="72">
        <f t="shared" si="2"/>
        <v>62.500559999999993</v>
      </c>
      <c r="I65" s="94"/>
    </row>
    <row r="66" spans="2:9" ht="15.75" customHeight="1" x14ac:dyDescent="0.2">
      <c r="B66" s="143" t="s">
        <v>108</v>
      </c>
      <c r="C66" s="144"/>
      <c r="D66" s="145"/>
      <c r="E66" s="71">
        <v>2000</v>
      </c>
      <c r="F66" s="71">
        <v>2000</v>
      </c>
      <c r="G66" s="71">
        <f>300+9440.38</f>
        <v>9740.3799999999992</v>
      </c>
      <c r="H66" s="72">
        <f t="shared" si="2"/>
        <v>487.01900000000001</v>
      </c>
      <c r="I66" s="94"/>
    </row>
    <row r="67" spans="2:9" ht="15.75" customHeight="1" x14ac:dyDescent="0.2">
      <c r="B67" s="143" t="s">
        <v>109</v>
      </c>
      <c r="C67" s="144"/>
      <c r="D67" s="145"/>
      <c r="E67" s="71">
        <v>4000</v>
      </c>
      <c r="F67" s="71">
        <v>4000</v>
      </c>
      <c r="G67" s="71">
        <f>2027.58+550.59</f>
        <v>2578.17</v>
      </c>
      <c r="H67" s="72">
        <f t="shared" si="2"/>
        <v>64.454250000000002</v>
      </c>
      <c r="I67" s="94"/>
    </row>
    <row r="68" spans="2:9" ht="15.75" customHeight="1" x14ac:dyDescent="0.2">
      <c r="B68" s="140" t="s">
        <v>110</v>
      </c>
      <c r="C68" s="141"/>
      <c r="D68" s="142"/>
      <c r="E68" s="42">
        <f>E69+E70+E71+E72+E73+E74+E76+E77+E75</f>
        <v>9000</v>
      </c>
      <c r="F68" s="42">
        <f>F69+F70+F71+F72+F73+F74+F76+F77+F75</f>
        <v>9000</v>
      </c>
      <c r="G68" s="42">
        <f>G69+G70+G71+G72+G73+G74+G76+G77+G75</f>
        <v>0</v>
      </c>
      <c r="H68" s="43">
        <f t="shared" si="2"/>
        <v>0</v>
      </c>
      <c r="I68" s="94"/>
    </row>
    <row r="69" spans="2:9" ht="15.75" customHeight="1" x14ac:dyDescent="0.2">
      <c r="B69" s="143" t="s">
        <v>114</v>
      </c>
      <c r="C69" s="144"/>
      <c r="D69" s="145"/>
      <c r="E69" s="71">
        <v>1000</v>
      </c>
      <c r="F69" s="71">
        <v>1000</v>
      </c>
      <c r="G69" s="71">
        <v>0</v>
      </c>
      <c r="H69" s="72">
        <f t="shared" si="2"/>
        <v>0</v>
      </c>
      <c r="I69" s="94"/>
    </row>
    <row r="70" spans="2:9" ht="15.75" customHeight="1" x14ac:dyDescent="0.2">
      <c r="B70" s="143" t="s">
        <v>115</v>
      </c>
      <c r="C70" s="144"/>
      <c r="D70" s="145"/>
      <c r="E70" s="71">
        <v>0</v>
      </c>
      <c r="F70" s="71">
        <v>0</v>
      </c>
      <c r="G70" s="71">
        <v>0</v>
      </c>
      <c r="H70" s="72" t="e">
        <f t="shared" si="2"/>
        <v>#DIV/0!</v>
      </c>
      <c r="I70" s="94"/>
    </row>
    <row r="71" spans="2:9" ht="15.75" customHeight="1" x14ac:dyDescent="0.2">
      <c r="B71" s="143" t="s">
        <v>117</v>
      </c>
      <c r="C71" s="144"/>
      <c r="D71" s="145"/>
      <c r="E71" s="71">
        <v>0</v>
      </c>
      <c r="F71" s="71">
        <v>0</v>
      </c>
      <c r="G71" s="71">
        <v>0</v>
      </c>
      <c r="H71" s="72" t="e">
        <f t="shared" si="2"/>
        <v>#DIV/0!</v>
      </c>
      <c r="I71" s="94"/>
    </row>
    <row r="72" spans="2:9" ht="15.75" customHeight="1" x14ac:dyDescent="0.2">
      <c r="B72" s="143" t="s">
        <v>119</v>
      </c>
      <c r="C72" s="144"/>
      <c r="D72" s="145"/>
      <c r="E72" s="71">
        <v>0</v>
      </c>
      <c r="F72" s="71">
        <v>0</v>
      </c>
      <c r="G72" s="71">
        <v>0</v>
      </c>
      <c r="H72" s="72" t="e">
        <f t="shared" si="2"/>
        <v>#DIV/0!</v>
      </c>
      <c r="I72" s="94"/>
    </row>
    <row r="73" spans="2:9" ht="15.75" customHeight="1" x14ac:dyDescent="0.2">
      <c r="B73" s="143" t="s">
        <v>120</v>
      </c>
      <c r="C73" s="144"/>
      <c r="D73" s="145"/>
      <c r="E73" s="71">
        <v>2500</v>
      </c>
      <c r="F73" s="71">
        <v>2500</v>
      </c>
      <c r="G73" s="71">
        <v>0</v>
      </c>
      <c r="H73" s="72">
        <f t="shared" si="2"/>
        <v>0</v>
      </c>
      <c r="I73" s="94"/>
    </row>
    <row r="74" spans="2:9" ht="15.75" customHeight="1" x14ac:dyDescent="0.2">
      <c r="B74" s="143" t="s">
        <v>121</v>
      </c>
      <c r="C74" s="144"/>
      <c r="D74" s="145"/>
      <c r="E74" s="71">
        <v>0</v>
      </c>
      <c r="F74" s="71">
        <v>0</v>
      </c>
      <c r="G74" s="71">
        <v>0</v>
      </c>
      <c r="H74" s="72" t="e">
        <f t="shared" ref="H74:H75" si="21">G74/F74*100</f>
        <v>#DIV/0!</v>
      </c>
      <c r="I74" s="94"/>
    </row>
    <row r="75" spans="2:9" ht="15.75" customHeight="1" x14ac:dyDescent="0.2">
      <c r="B75" s="143" t="s">
        <v>125</v>
      </c>
      <c r="C75" s="144"/>
      <c r="D75" s="145"/>
      <c r="E75" s="71">
        <v>2500</v>
      </c>
      <c r="F75" s="71">
        <v>2500</v>
      </c>
      <c r="G75" s="71">
        <v>0</v>
      </c>
      <c r="H75" s="72">
        <f t="shared" si="21"/>
        <v>0</v>
      </c>
      <c r="I75" s="94"/>
    </row>
    <row r="76" spans="2:9" ht="15.75" customHeight="1" x14ac:dyDescent="0.2">
      <c r="B76" s="143" t="s">
        <v>141</v>
      </c>
      <c r="C76" s="146"/>
      <c r="D76" s="147"/>
      <c r="E76" s="71">
        <v>2000</v>
      </c>
      <c r="F76" s="71">
        <v>2000</v>
      </c>
      <c r="G76" s="71">
        <v>0</v>
      </c>
      <c r="H76" s="72">
        <f t="shared" ref="H76:H94" si="22">G76/F76*100</f>
        <v>0</v>
      </c>
      <c r="I76" s="94"/>
    </row>
    <row r="77" spans="2:9" ht="15.75" customHeight="1" x14ac:dyDescent="0.2">
      <c r="B77" s="143" t="s">
        <v>142</v>
      </c>
      <c r="C77" s="144"/>
      <c r="D77" s="145"/>
      <c r="E77" s="71">
        <v>1000</v>
      </c>
      <c r="F77" s="71">
        <v>1000</v>
      </c>
      <c r="G77" s="71">
        <v>0</v>
      </c>
      <c r="H77" s="72">
        <f t="shared" si="22"/>
        <v>0</v>
      </c>
      <c r="I77" s="94"/>
    </row>
    <row r="78" spans="2:9" ht="15.75" customHeight="1" x14ac:dyDescent="0.2">
      <c r="B78" s="140" t="s">
        <v>139</v>
      </c>
      <c r="C78" s="141"/>
      <c r="D78" s="142"/>
      <c r="E78" s="42">
        <f>+E79</f>
        <v>9060</v>
      </c>
      <c r="F78" s="42">
        <f t="shared" ref="F78:G79" si="23">+F79</f>
        <v>9060</v>
      </c>
      <c r="G78" s="42">
        <f t="shared" si="23"/>
        <v>402.08</v>
      </c>
      <c r="H78" s="43">
        <f t="shared" si="22"/>
        <v>4.4379690949227371</v>
      </c>
      <c r="I78" s="94"/>
    </row>
    <row r="79" spans="2:9" ht="15.75" customHeight="1" x14ac:dyDescent="0.2">
      <c r="B79" s="140" t="s">
        <v>140</v>
      </c>
      <c r="C79" s="141"/>
      <c r="D79" s="142"/>
      <c r="E79" s="42">
        <f>+E80</f>
        <v>9060</v>
      </c>
      <c r="F79" s="42">
        <f t="shared" si="23"/>
        <v>9060</v>
      </c>
      <c r="G79" s="42">
        <f t="shared" si="23"/>
        <v>402.08</v>
      </c>
      <c r="H79" s="43">
        <f t="shared" si="22"/>
        <v>4.4379690949227371</v>
      </c>
      <c r="I79" s="94"/>
    </row>
    <row r="80" spans="2:9" ht="15.75" customHeight="1" x14ac:dyDescent="0.2">
      <c r="B80" s="140" t="s">
        <v>110</v>
      </c>
      <c r="C80" s="141"/>
      <c r="D80" s="142"/>
      <c r="E80" s="42">
        <f>E81+E82+E83</f>
        <v>9060</v>
      </c>
      <c r="F80" s="42">
        <f t="shared" ref="F80:G80" si="24">F81+F82+F83</f>
        <v>9060</v>
      </c>
      <c r="G80" s="42">
        <f t="shared" si="24"/>
        <v>402.08</v>
      </c>
      <c r="H80" s="43">
        <f t="shared" si="22"/>
        <v>4.4379690949227371</v>
      </c>
      <c r="I80" s="94"/>
    </row>
    <row r="81" spans="2:9" ht="15.75" customHeight="1" x14ac:dyDescent="0.2">
      <c r="B81" s="143" t="s">
        <v>121</v>
      </c>
      <c r="C81" s="144"/>
      <c r="D81" s="145"/>
      <c r="E81" s="71">
        <v>5000</v>
      </c>
      <c r="F81" s="71">
        <v>5000</v>
      </c>
      <c r="G81" s="71">
        <v>0</v>
      </c>
      <c r="H81" s="72">
        <f t="shared" si="22"/>
        <v>0</v>
      </c>
      <c r="I81" s="94"/>
    </row>
    <row r="82" spans="2:9" ht="15.75" customHeight="1" x14ac:dyDescent="0.2">
      <c r="B82" s="143" t="s">
        <v>123</v>
      </c>
      <c r="C82" s="144"/>
      <c r="D82" s="145"/>
      <c r="E82" s="71">
        <v>4060</v>
      </c>
      <c r="F82" s="71">
        <v>4060</v>
      </c>
      <c r="G82" s="71">
        <v>400.65</v>
      </c>
      <c r="H82" s="72">
        <f t="shared" si="22"/>
        <v>9.8682266009852206</v>
      </c>
      <c r="I82" s="94"/>
    </row>
    <row r="83" spans="2:9" ht="15.75" customHeight="1" x14ac:dyDescent="0.2">
      <c r="B83" s="109" t="s">
        <v>277</v>
      </c>
      <c r="C83" s="107"/>
      <c r="D83" s="108"/>
      <c r="E83" s="71">
        <v>0</v>
      </c>
      <c r="F83" s="71">
        <v>0</v>
      </c>
      <c r="G83" s="71">
        <v>1.43</v>
      </c>
      <c r="H83" s="72"/>
      <c r="I83" s="94"/>
    </row>
    <row r="84" spans="2:9" ht="15.75" customHeight="1" x14ac:dyDescent="0.2">
      <c r="B84" s="140" t="s">
        <v>143</v>
      </c>
      <c r="C84" s="141"/>
      <c r="D84" s="142"/>
      <c r="E84" s="42">
        <f>+E85</f>
        <v>183228</v>
      </c>
      <c r="F84" s="42">
        <f t="shared" ref="F84:G84" si="25">+F85</f>
        <v>183228</v>
      </c>
      <c r="G84" s="42">
        <f t="shared" si="25"/>
        <v>9306.08</v>
      </c>
      <c r="H84" s="43">
        <f t="shared" si="22"/>
        <v>5.0789617307398434</v>
      </c>
      <c r="I84" s="94"/>
    </row>
    <row r="85" spans="2:9" ht="15.75" customHeight="1" x14ac:dyDescent="0.2">
      <c r="B85" s="140" t="s">
        <v>144</v>
      </c>
      <c r="C85" s="141"/>
      <c r="D85" s="142"/>
      <c r="E85" s="42">
        <f>E86+E93</f>
        <v>183228</v>
      </c>
      <c r="F85" s="42">
        <f t="shared" ref="F85:G85" si="26">F86+F93</f>
        <v>183228</v>
      </c>
      <c r="G85" s="42">
        <f t="shared" si="26"/>
        <v>9306.08</v>
      </c>
      <c r="H85" s="43">
        <f t="shared" si="22"/>
        <v>5.0789617307398434</v>
      </c>
      <c r="I85" s="94"/>
    </row>
    <row r="86" spans="2:9" ht="15.75" customHeight="1" x14ac:dyDescent="0.2">
      <c r="B86" s="140" t="s">
        <v>110</v>
      </c>
      <c r="C86" s="141"/>
      <c r="D86" s="142"/>
      <c r="E86" s="42">
        <f>E87+E89+E90+E91+E92+E88</f>
        <v>179228</v>
      </c>
      <c r="F86" s="42">
        <f t="shared" ref="F86:G86" si="27">F87+F89+F90+F91+F92+F88</f>
        <v>179228</v>
      </c>
      <c r="G86" s="42">
        <f t="shared" si="27"/>
        <v>5087.08</v>
      </c>
      <c r="H86" s="43">
        <f t="shared" si="22"/>
        <v>2.8383288325484859</v>
      </c>
      <c r="I86" s="94"/>
    </row>
    <row r="87" spans="2:9" ht="15.75" customHeight="1" x14ac:dyDescent="0.2">
      <c r="B87" s="143" t="s">
        <v>114</v>
      </c>
      <c r="C87" s="144"/>
      <c r="D87" s="145"/>
      <c r="E87" s="71">
        <v>4622</v>
      </c>
      <c r="F87" s="71">
        <v>4622</v>
      </c>
      <c r="G87" s="71">
        <v>5087.08</v>
      </c>
      <c r="H87" s="43">
        <f t="shared" si="22"/>
        <v>110.06231068801384</v>
      </c>
      <c r="I87" s="94"/>
    </row>
    <row r="88" spans="2:9" ht="15.75" customHeight="1" x14ac:dyDescent="0.2">
      <c r="B88" s="143" t="s">
        <v>117</v>
      </c>
      <c r="C88" s="144"/>
      <c r="D88" s="145"/>
      <c r="E88" s="71">
        <v>10000</v>
      </c>
      <c r="F88" s="71">
        <v>10000</v>
      </c>
      <c r="G88" s="71">
        <v>0</v>
      </c>
      <c r="H88" s="43">
        <f t="shared" si="22"/>
        <v>0</v>
      </c>
      <c r="I88" s="94"/>
    </row>
    <row r="89" spans="2:9" ht="15.75" customHeight="1" x14ac:dyDescent="0.2">
      <c r="B89" s="143" t="s">
        <v>120</v>
      </c>
      <c r="C89" s="144"/>
      <c r="D89" s="145"/>
      <c r="E89" s="71">
        <v>130606</v>
      </c>
      <c r="F89" s="71">
        <v>130606</v>
      </c>
      <c r="G89" s="71">
        <v>0</v>
      </c>
      <c r="H89" s="72">
        <f t="shared" si="22"/>
        <v>0</v>
      </c>
      <c r="I89" s="94"/>
    </row>
    <row r="90" spans="2:9" ht="15.75" customHeight="1" x14ac:dyDescent="0.2">
      <c r="B90" s="143" t="s">
        <v>121</v>
      </c>
      <c r="C90" s="144"/>
      <c r="D90" s="145"/>
      <c r="E90" s="71">
        <v>10000</v>
      </c>
      <c r="F90" s="71">
        <v>10000</v>
      </c>
      <c r="G90" s="71">
        <v>0</v>
      </c>
      <c r="H90" s="72">
        <f t="shared" si="22"/>
        <v>0</v>
      </c>
      <c r="I90" s="94"/>
    </row>
    <row r="91" spans="2:9" ht="15.75" customHeight="1" x14ac:dyDescent="0.2">
      <c r="B91" s="143" t="s">
        <v>122</v>
      </c>
      <c r="C91" s="144"/>
      <c r="D91" s="145"/>
      <c r="E91" s="71">
        <v>20000</v>
      </c>
      <c r="F91" s="71">
        <v>20000</v>
      </c>
      <c r="G91" s="71">
        <v>0</v>
      </c>
      <c r="H91" s="72">
        <f t="shared" si="22"/>
        <v>0</v>
      </c>
      <c r="I91" s="94"/>
    </row>
    <row r="92" spans="2:9" ht="15.75" customHeight="1" x14ac:dyDescent="0.2">
      <c r="B92" s="143" t="s">
        <v>125</v>
      </c>
      <c r="C92" s="144"/>
      <c r="D92" s="145"/>
      <c r="E92" s="71">
        <v>4000</v>
      </c>
      <c r="F92" s="71">
        <v>4000</v>
      </c>
      <c r="G92" s="71">
        <v>0</v>
      </c>
      <c r="H92" s="72">
        <f t="shared" si="22"/>
        <v>0</v>
      </c>
      <c r="I92" s="94"/>
    </row>
    <row r="93" spans="2:9" ht="15.75" customHeight="1" x14ac:dyDescent="0.2">
      <c r="B93" s="140" t="s">
        <v>137</v>
      </c>
      <c r="C93" s="141"/>
      <c r="D93" s="142"/>
      <c r="E93" s="42">
        <f>+E94</f>
        <v>4000</v>
      </c>
      <c r="F93" s="42">
        <f t="shared" ref="F93:G93" si="28">+F94</f>
        <v>4000</v>
      </c>
      <c r="G93" s="42">
        <f t="shared" si="28"/>
        <v>4219</v>
      </c>
      <c r="H93" s="43">
        <f t="shared" si="22"/>
        <v>105.47500000000001</v>
      </c>
      <c r="I93" s="94"/>
    </row>
    <row r="94" spans="2:9" ht="15.75" customHeight="1" x14ac:dyDescent="0.2">
      <c r="B94" s="143" t="s">
        <v>138</v>
      </c>
      <c r="C94" s="144"/>
      <c r="D94" s="145"/>
      <c r="E94" s="71">
        <v>4000</v>
      </c>
      <c r="F94" s="71">
        <v>4000</v>
      </c>
      <c r="G94" s="71">
        <v>4219</v>
      </c>
      <c r="H94" s="72">
        <f t="shared" si="22"/>
        <v>105.47500000000001</v>
      </c>
      <c r="I94" s="94"/>
    </row>
  </sheetData>
  <mergeCells count="90">
    <mergeCell ref="B60:D60"/>
    <mergeCell ref="B77:D77"/>
    <mergeCell ref="B75:D75"/>
    <mergeCell ref="B88:D88"/>
    <mergeCell ref="B92:D92"/>
    <mergeCell ref="B81:D81"/>
    <mergeCell ref="B82:D82"/>
    <mergeCell ref="B78:D78"/>
    <mergeCell ref="B79:D79"/>
    <mergeCell ref="B80:D80"/>
    <mergeCell ref="B31:D31"/>
    <mergeCell ref="B8:C8"/>
    <mergeCell ref="B32:D32"/>
    <mergeCell ref="B9:C9"/>
    <mergeCell ref="B4:H4"/>
    <mergeCell ref="B6:D6"/>
    <mergeCell ref="B7:D7"/>
    <mergeCell ref="B12:C12"/>
    <mergeCell ref="B13:C13"/>
    <mergeCell ref="B14:C14"/>
    <mergeCell ref="B15:C15"/>
    <mergeCell ref="B16:C16"/>
    <mergeCell ref="B17:C17"/>
    <mergeCell ref="B2:H2"/>
    <mergeCell ref="B28:D28"/>
    <mergeCell ref="B29:D29"/>
    <mergeCell ref="B30:D30"/>
    <mergeCell ref="B20:C20"/>
    <mergeCell ref="B21:C21"/>
    <mergeCell ref="B22:D22"/>
    <mergeCell ref="B23:D23"/>
    <mergeCell ref="B24:D24"/>
    <mergeCell ref="B25:D25"/>
    <mergeCell ref="B26:D26"/>
    <mergeCell ref="B27:D27"/>
    <mergeCell ref="B10:C10"/>
    <mergeCell ref="B11:C11"/>
    <mergeCell ref="B18:C18"/>
    <mergeCell ref="B19:C19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  <mergeCell ref="B59:D59"/>
    <mergeCell ref="B61:D61"/>
    <mergeCell ref="B43:D43"/>
    <mergeCell ref="B44:D44"/>
    <mergeCell ref="B45:D45"/>
    <mergeCell ref="B46:D46"/>
    <mergeCell ref="B47:D47"/>
    <mergeCell ref="B48:D48"/>
    <mergeCell ref="B49:D49"/>
    <mergeCell ref="B50:D50"/>
    <mergeCell ref="B55:D55"/>
    <mergeCell ref="B56:D56"/>
    <mergeCell ref="B57:D57"/>
    <mergeCell ref="B58:D58"/>
    <mergeCell ref="B51:D51"/>
    <mergeCell ref="B52:D52"/>
    <mergeCell ref="B53:D53"/>
    <mergeCell ref="B54:D54"/>
    <mergeCell ref="B76:D76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93:D93"/>
    <mergeCell ref="B94:D94"/>
    <mergeCell ref="B84:D84"/>
    <mergeCell ref="B85:D85"/>
    <mergeCell ref="B86:D86"/>
    <mergeCell ref="B89:D89"/>
    <mergeCell ref="B87:D87"/>
    <mergeCell ref="B91:D91"/>
    <mergeCell ref="B90:D90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rowBreaks count="1" manualBreakCount="1">
    <brk id="5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2024-07-19T11:02:26Z</cp:lastPrinted>
  <dcterms:created xsi:type="dcterms:W3CDTF">2022-08-12T12:51:27Z</dcterms:created>
  <dcterms:modified xsi:type="dcterms:W3CDTF">2024-07-30T09:47:51Z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